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6936" firstSheet="2" activeTab="2"/>
  </bookViews>
  <sheets>
    <sheet name="results" sheetId="1" state="hidden" r:id="rId1"/>
    <sheet name="SGV" sheetId="2" state="hidden" r:id="rId2"/>
    <sheet name="60" sheetId="3" r:id="rId3"/>
    <sheet name="61" sheetId="4" r:id="rId4"/>
    <sheet name="62" sheetId="5" r:id="rId5"/>
    <sheet name="63 - NĐ 31" sheetId="6" state="hidden" r:id="rId6"/>
    <sheet name="64 - NĐ 31" sheetId="7" state="hidden" r:id="rId7"/>
    <sheet name="65" sheetId="8" r:id="rId8"/>
    <sheet name="66" sheetId="9" r:id="rId9"/>
    <sheet name="67" sheetId="10" r:id="rId10"/>
    <sheet name="68" sheetId="11" r:id="rId11"/>
    <sheet name="69" sheetId="12" r:id="rId12"/>
    <sheet name="70" sheetId="13" r:id="rId13"/>
    <sheet name="QT vay" sheetId="14" r:id="rId14"/>
  </sheets>
  <externalReferences>
    <externalReference r:id="rId17"/>
  </externalReferences>
  <definedNames>
    <definedName name="_ftn1" localSheetId="12">'70'!$H$12</definedName>
    <definedName name="_ftnref1" localSheetId="12">'70'!$G$9</definedName>
    <definedName name="_xlfn.SINGLE" hidden="1">#NAME?</definedName>
    <definedName name="_xlnm.Print_Area" localSheetId="2">'60'!$A$1:$L$36</definedName>
    <definedName name="_xlnm.Print_Area" localSheetId="3">'61'!$A$1:$K$123</definedName>
    <definedName name="_xlnm.Print_Area" localSheetId="4">'62'!$A$1:$J$64</definedName>
    <definedName name="_xlnm.Print_Area" localSheetId="5">'63 - NĐ 31'!$A$1:$L$25</definedName>
    <definedName name="_xlnm.Print_Area" localSheetId="6">'64 - NĐ 31'!$A$1:$E$26</definedName>
    <definedName name="_xlnm.Print_Area" localSheetId="7">'65'!$A$1:$H$1387</definedName>
    <definedName name="_xlnm.Print_Area" localSheetId="8">'66'!$A$1:$G$103</definedName>
    <definedName name="_xlnm.Print_Area" localSheetId="9">'67'!$A$1:$F$38</definedName>
    <definedName name="_xlnm.Print_Area" localSheetId="10">'68'!$A$1:$AG$48</definedName>
    <definedName name="_xlnm.Print_Area" localSheetId="11">'69'!$A$1:$T$39</definedName>
    <definedName name="_xlnm.Print_Area" localSheetId="12">'70'!$A$1:$G$26</definedName>
    <definedName name="_xlnm.Print_Area" localSheetId="13">'QT vay'!$A$1:$G$22</definedName>
    <definedName name="_xlnm.Print_Titles" localSheetId="3">'61'!$5:$8</definedName>
    <definedName name="_xlnm.Print_Titles" localSheetId="4">'62'!$5:$8</definedName>
    <definedName name="_xlnm.Print_Titles" localSheetId="7">'65'!$7:$7</definedName>
    <definedName name="_xlnm.Print_Titles" localSheetId="8">'66'!$5:$7</definedName>
    <definedName name="_xlnm.Print_Titles" localSheetId="10">'68'!$6:$8</definedName>
    <definedName name="_xlnm.Print_Titles" localSheetId="11">'69'!$5:$8</definedName>
  </definedNames>
  <calcPr fullCalcOnLoad="1"/>
</workbook>
</file>

<file path=xl/comments11.xml><?xml version="1.0" encoding="utf-8"?>
<comments xmlns="http://schemas.openxmlformats.org/spreadsheetml/2006/main">
  <authors>
    <author>Admin</author>
    <author>Administrator</author>
  </authors>
  <commentList>
    <comment ref="AD10" authorId="0">
      <text>
        <r>
          <rPr>
            <b/>
            <sz val="9"/>
            <rFont val="Tahoma"/>
            <family val="2"/>
          </rPr>
          <t>Admin:</t>
        </r>
        <r>
          <rPr>
            <sz val="9"/>
            <rFont val="Tahoma"/>
            <family val="2"/>
          </rPr>
          <t xml:space="preserve">
70% TT CCTL năm 2019 NSH: 5,4261 tỷ; Kết dư NSH(ĐT và chi khác): 1,93007 tỷ
</t>
        </r>
      </text>
    </comment>
    <comment ref="M12" authorId="0">
      <text>
        <r>
          <rPr>
            <b/>
            <sz val="9"/>
            <rFont val="Tahoma"/>
            <family val="2"/>
          </rPr>
          <t>Admin:</t>
        </r>
        <r>
          <rPr>
            <sz val="9"/>
            <rFont val="Tahoma"/>
            <family val="2"/>
          </rPr>
          <t xml:space="preserve">
điều chỉnh giảm của dự phòng xã sang chi thường xuyên
</t>
        </r>
      </text>
    </comment>
    <comment ref="AD13" authorId="0">
      <text>
        <r>
          <rPr>
            <b/>
            <sz val="9"/>
            <rFont val="Tahoma"/>
            <family val="2"/>
          </rPr>
          <t>Admin:</t>
        </r>
        <r>
          <rPr>
            <sz val="9"/>
            <rFont val="Tahoma"/>
            <family val="2"/>
          </rPr>
          <t xml:space="preserve">
TT của NS xã 2020
</t>
        </r>
      </text>
    </comment>
    <comment ref="G35" authorId="0">
      <text>
        <r>
          <rPr>
            <b/>
            <sz val="9"/>
            <rFont val="Tahoma"/>
            <family val="2"/>
          </rPr>
          <t>Admin:</t>
        </r>
        <r>
          <rPr>
            <sz val="9"/>
            <rFont val="Tahoma"/>
            <family val="2"/>
          </rPr>
          <t xml:space="preserve">
Kp xử lý khối đá tại khi Hòa Bình I: 16 trđ, KP phun tiêu độc khử trùng và công tác bẫy đèn: 73,8 trđ
</t>
        </r>
      </text>
    </comment>
    <comment ref="M36" authorId="1">
      <text>
        <r>
          <rPr>
            <b/>
            <sz val="9"/>
            <rFont val="Tahoma"/>
            <family val="2"/>
          </rPr>
          <t>Administrator:</t>
        </r>
        <r>
          <rPr>
            <sz val="9"/>
            <rFont val="Tahoma"/>
            <family val="2"/>
          </rPr>
          <t xml:space="preserve">
hội nghị tuyên truyền</t>
        </r>
      </text>
    </comment>
    <comment ref="V36" authorId="1">
      <text>
        <r>
          <rPr>
            <b/>
            <sz val="9"/>
            <rFont val="Tahoma"/>
            <family val="2"/>
          </rPr>
          <t>Administrator:</t>
        </r>
        <r>
          <rPr>
            <sz val="9"/>
            <rFont val="Tahoma"/>
            <family val="2"/>
          </rPr>
          <t xml:space="preserve">
nộp quỹ phát triển đất từ tăng thut iền thuê đất; kp cắm mốc quy hoạch; 
</t>
        </r>
      </text>
    </comment>
  </commentList>
</comments>
</file>

<file path=xl/sharedStrings.xml><?xml version="1.0" encoding="utf-8"?>
<sst xmlns="http://schemas.openxmlformats.org/spreadsheetml/2006/main" count="3731" uniqueCount="809">
  <si>
    <t>UBND TỈNH LẠNG SƠN</t>
  </si>
  <si>
    <t>Biểu số 60 - Thông tư 342/2016/TT-BTC</t>
  </si>
  <si>
    <t>Đơn vị: Triệu đồng</t>
  </si>
  <si>
    <t>PHẦN THU</t>
  </si>
  <si>
    <t>Tổng</t>
  </si>
  <si>
    <t xml:space="preserve">Thu </t>
  </si>
  <si>
    <t>PHẦN CHI</t>
  </si>
  <si>
    <t>Chi</t>
  </si>
  <si>
    <t>số</t>
  </si>
  <si>
    <t>NS tỉnh</t>
  </si>
  <si>
    <t>NS huyện</t>
  </si>
  <si>
    <t>NS xã</t>
  </si>
  <si>
    <t xml:space="preserve"> </t>
  </si>
  <si>
    <t>Tổng số thu</t>
  </si>
  <si>
    <t>Tổng số chi</t>
  </si>
  <si>
    <t>A</t>
  </si>
  <si>
    <t>Tổng thu cân đối ngân sách</t>
  </si>
  <si>
    <t>Tổng số chi cân đối ngân sách</t>
  </si>
  <si>
    <t>Các khoản thu NSĐP hưởng 100%</t>
  </si>
  <si>
    <t>Chi đầu tư phát triển</t>
  </si>
  <si>
    <t>Các khoản thu phân chia theo tỷ lệ %</t>
  </si>
  <si>
    <t>Chi trả nợ lãi, phí tiền vay</t>
  </si>
  <si>
    <t>Thu từ quỹ dự trữ tài chính</t>
  </si>
  <si>
    <t>Chi thường xuyên</t>
  </si>
  <si>
    <t>Thu kết dư năm trước</t>
  </si>
  <si>
    <t>Chi bổ sung quỹ dự trữ tài chính</t>
  </si>
  <si>
    <t>Thu chuyển nguồn từ năm trước sang</t>
  </si>
  <si>
    <t>Chi bổ sung cho ngân sách cấp dưới</t>
  </si>
  <si>
    <t>Thu viện trợ</t>
  </si>
  <si>
    <t>Chi chuyển nguồn sang năm sau</t>
  </si>
  <si>
    <t>Thu bổ sung từ ngân sách cấp trên</t>
  </si>
  <si>
    <t>Chi nộp ngân sách cấp trên</t>
  </si>
  <si>
    <t>Trong đó: - Bổ sung cân đối ngân sách</t>
  </si>
  <si>
    <t>Chi viện trợ</t>
  </si>
  <si>
    <t>Thu từ ngân sách cấp dưới nộp lên</t>
  </si>
  <si>
    <t xml:space="preserve"> -</t>
  </si>
  <si>
    <t>Kết dư ngân sách năm quyết toán (thu - chi)</t>
  </si>
  <si>
    <t>Bội chi</t>
  </si>
  <si>
    <t>B</t>
  </si>
  <si>
    <t>Vay của ngân sách cấp tỉnh (chi tiết theo mục đích vay và nguồn vay)</t>
  </si>
  <si>
    <t>Chi trả nợ gốc (chi tiết từng nguồn trả nợ gốc)</t>
  </si>
  <si>
    <t xml:space="preserve">Dự án đầu tư xây dựng cầu dân sinh và quản lý tài sản đường địa phương </t>
  </si>
  <si>
    <t>Chương trình mở rộng quy mô vệ sinh và nước sạch nông thôn</t>
  </si>
  <si>
    <t>Thu tiền sử dụng đất</t>
  </si>
  <si>
    <t>Dự án Sửa chữa và nâng cao an toàn đập</t>
  </si>
  <si>
    <t>Dự án Tăng cường quản lý đất đai và cơ sở dữ liệu đất đai thành phố Lạng Sơn và 04 huyện Cao Lộc, Tràng Định, Bình Gia, Lộc Bình</t>
  </si>
  <si>
    <t>Dự án Hạ tầng cơ bản cho phát triển toàn diện tiểu dự án tỉnh Lạng Sơn</t>
  </si>
  <si>
    <t>Biểu số 61 - Thông tư 342/2016/TT-BTC</t>
  </si>
  <si>
    <t>STT</t>
  </si>
  <si>
    <t>Nội dung</t>
  </si>
  <si>
    <t>Quyết toán năm</t>
  </si>
  <si>
    <t>Bao gồm</t>
  </si>
  <si>
    <t>So sánh QT/DT (%)</t>
  </si>
  <si>
    <t>Cấp trên giao</t>
  </si>
  <si>
    <t>HĐND quyết định</t>
  </si>
  <si>
    <t>NSTW</t>
  </si>
  <si>
    <t>NS cấp tỉnh</t>
  </si>
  <si>
    <t>NS cấp huyện</t>
  </si>
  <si>
    <t>NS cấp xã</t>
  </si>
  <si>
    <t>3=4+5+6+7</t>
  </si>
  <si>
    <t>8=3/1</t>
  </si>
  <si>
    <t>9=3/2</t>
  </si>
  <si>
    <t>TỔNG SỐ: (A+B+C+D+E)</t>
  </si>
  <si>
    <t>THU NGÂN SÁCH NHÀ NƯỚC</t>
  </si>
  <si>
    <t>I</t>
  </si>
  <si>
    <t>Thu nội địa</t>
  </si>
  <si>
    <t>1</t>
  </si>
  <si>
    <t>Thu từ khu vực doanh nghiệp nhà nước do Trung ương quản lý</t>
  </si>
  <si>
    <t xml:space="preserve"> - </t>
  </si>
  <si>
    <t xml:space="preserve">Thuế giá trị gia tăng </t>
  </si>
  <si>
    <t>Trong đó: Thu từ hoạt động thăm dò, khai thác dầu khí</t>
  </si>
  <si>
    <t>Thuế tiêu thụ đặc biệt</t>
  </si>
  <si>
    <t>Trong đó: Thu từ cơ sở kinh doanh nhập khẩu tiếp tục bán ra trong nước</t>
  </si>
  <si>
    <t>Thuế tài nguyên</t>
  </si>
  <si>
    <t>Trong đó: Thuế tài nguyên dầu khí</t>
  </si>
  <si>
    <t>2</t>
  </si>
  <si>
    <t>Thu từ khu vực doanh nghiệp nhà nước do địa phương quản lý</t>
  </si>
  <si>
    <t>3</t>
  </si>
  <si>
    <t xml:space="preserve">Thu từ khu vực doanh nghiệp có vốn đầu tư nước ngoài </t>
  </si>
  <si>
    <t>Trong đó: Thu từ hoạt động thăm dò và khai thác dầu, khí</t>
  </si>
  <si>
    <t>Thu từ khí thiên nhiên</t>
  </si>
  <si>
    <t>Trong đó: Thuế tài nguyên dầu, khí</t>
  </si>
  <si>
    <t>4</t>
  </si>
  <si>
    <t>Thu từ khu vực kinh tế ngoài quốc doanh</t>
  </si>
  <si>
    <t>5</t>
  </si>
  <si>
    <t>Lệ phí trước bạ</t>
  </si>
  <si>
    <t>Thuế sử dụng đất nông nghiệp</t>
  </si>
  <si>
    <t>7</t>
  </si>
  <si>
    <t>Thuế sử dụng đất phi nông nghiệp</t>
  </si>
  <si>
    <t>8</t>
  </si>
  <si>
    <t>Thuế thu nhập cá nhân</t>
  </si>
  <si>
    <t>9</t>
  </si>
  <si>
    <t>Thuế bảo vệ môi trường</t>
  </si>
  <si>
    <t>Trong đó: - Từ hàng hóa nhập khẩu bán ra trong nước</t>
  </si>
  <si>
    <t xml:space="preserve">                - Thu từ hàng hóa sản xuất trong nước</t>
  </si>
  <si>
    <t>10</t>
  </si>
  <si>
    <t>Phí, lệ phí</t>
  </si>
  <si>
    <t>Bao gồm: - Phí, lệ phí do cơ quan nhà nước trung ương thu</t>
  </si>
  <si>
    <t xml:space="preserve">                - Phí, lệ phí do cơ quan nhà nước địa phương thu</t>
  </si>
  <si>
    <t>Trong đó: Phí bảo vệ môi trường đối với khai thác khoáng sản</t>
  </si>
  <si>
    <t xml:space="preserve">               Phí sử dụng công trình kết cấu hạ tầng, công trình dịch vụ, tiện ích công cộng trong khu vực cửa khẩu</t>
  </si>
  <si>
    <t>11</t>
  </si>
  <si>
    <t>Trong đó: - Thu do cơ quan, tổ chức, đơn vị thuộc Trung ương quản lý</t>
  </si>
  <si>
    <t xml:space="preserve">               - Thu do cơ quan, tổ chức, đơn vị thuộc Địa phương quản lý</t>
  </si>
  <si>
    <t>12</t>
  </si>
  <si>
    <t>Thu tiền cho thuê đất, thuê mặt nước</t>
  </si>
  <si>
    <t>13</t>
  </si>
  <si>
    <t>Thu tiền sử dụng khu vực biển</t>
  </si>
  <si>
    <t>Trong đó: - Thuộc thẩm quyền giao của trung ương</t>
  </si>
  <si>
    <t xml:space="preserve">               - Thuộc thẩm quyền giao của địa phương</t>
  </si>
  <si>
    <t>14</t>
  </si>
  <si>
    <t>Thu từ bán tài sản nhà nước</t>
  </si>
  <si>
    <t>Trong đó: - Do trung ương</t>
  </si>
  <si>
    <t xml:space="preserve">               - Do địa phương</t>
  </si>
  <si>
    <t>15</t>
  </si>
  <si>
    <t>Thu từ tài sản được xác lập quyền sở hữu của nhà nước</t>
  </si>
  <si>
    <t>Trong đó: - Do trung ương xử lý</t>
  </si>
  <si>
    <t xml:space="preserve">               - Do địa phương xử lý</t>
  </si>
  <si>
    <t>16</t>
  </si>
  <si>
    <t>Thu tiền cho thuê và bán nhà ở thuộc sở hữu nhà nước</t>
  </si>
  <si>
    <t>Thu khác ngân sách</t>
  </si>
  <si>
    <t>Thu khác ngân sách trung ương</t>
  </si>
  <si>
    <t>Trong đó: Thu phạt an toàn giao thông</t>
  </si>
  <si>
    <t>Thu tiền cấp quyền khai thác khoáng sản</t>
  </si>
  <si>
    <t>Trong đó: - Giấy phép do Trung ương cấp</t>
  </si>
  <si>
    <t xml:space="preserve">              - Giấy phép do Ủy ban nhân dân cấp tỉnh cấp</t>
  </si>
  <si>
    <t>Thu từ quỹ đất công ích và thu hoa lợi công sản khác</t>
  </si>
  <si>
    <t>Thu từ hoạt động xổ số kiến thiết (kể cả xổ số điện toán)</t>
  </si>
  <si>
    <t>II</t>
  </si>
  <si>
    <t>Thu về dầu thô</t>
  </si>
  <si>
    <t>III</t>
  </si>
  <si>
    <t>Thu từ hoạt động xuất nhập khẩu</t>
  </si>
  <si>
    <t>Thuế xuất khẩu</t>
  </si>
  <si>
    <t>Thuế nhập khẩu</t>
  </si>
  <si>
    <t>Thuế tiêu thụ đặc biệt hàng nhập khẩu</t>
  </si>
  <si>
    <t>Thuế giá trị gia tăng hàng nhập khẩu</t>
  </si>
  <si>
    <t>Thuế bổ sung đối với hàng hóa nhập khẩu vào Việt Nam</t>
  </si>
  <si>
    <t>6</t>
  </si>
  <si>
    <t>Thu chênh lệch giá hàng xuất nhập khẩu</t>
  </si>
  <si>
    <t>Thuế bảo vệ môi trường do cơ quan hải quan thực hiện</t>
  </si>
  <si>
    <t>Phí, lệ phí hải quan</t>
  </si>
  <si>
    <t>Thu khác</t>
  </si>
  <si>
    <t>IV</t>
  </si>
  <si>
    <t>V</t>
  </si>
  <si>
    <t>Các khoản huy động, đóng góp</t>
  </si>
  <si>
    <t>Các khoản huy động, đóng góp xây dựng cơ sở hạ tầng</t>
  </si>
  <si>
    <t>Các khoản huy động, đóng góp khác</t>
  </si>
  <si>
    <t>VI</t>
  </si>
  <si>
    <t>Thu hồi vốn của Nhà nước và thu từ quỹ dự trữ tài chính</t>
  </si>
  <si>
    <t>Thu từ các khoản cho vay của ngân sách</t>
  </si>
  <si>
    <t>2.1</t>
  </si>
  <si>
    <t>Thu nợ gốc cho vay</t>
  </si>
  <si>
    <t>2.2</t>
  </si>
  <si>
    <t>Thu lãi cho vay</t>
  </si>
  <si>
    <t>VAY CỦA NGÂN SÁCH ĐỊA PHƯƠNG</t>
  </si>
  <si>
    <t>Vay bù đắp bội chi NSĐP</t>
  </si>
  <si>
    <t>Vay trong nước</t>
  </si>
  <si>
    <t>Vay lại từ nguồn Chính phủ vay ngoài nước</t>
  </si>
  <si>
    <t>Vay để trả nợ gốc vay</t>
  </si>
  <si>
    <t>C</t>
  </si>
  <si>
    <t>THU CHUYỂN GIAO NGÂN SÁCH</t>
  </si>
  <si>
    <t>Bổ sung cân đối</t>
  </si>
  <si>
    <t>Bổ sung có mục tiêu</t>
  </si>
  <si>
    <t>Bổ sung có mục tiêu bằng nguồn vốn trong nước</t>
  </si>
  <si>
    <t>Bổ sung có mục tiêu bằng nguồn vốn ngoài nước</t>
  </si>
  <si>
    <t>D</t>
  </si>
  <si>
    <t>THU CHUYỂN NGUỒN</t>
  </si>
  <si>
    <t>E</t>
  </si>
  <si>
    <t>THU KẾT DƯ NGÂN SÁCH</t>
  </si>
  <si>
    <t xml:space="preserve">UBND TỈNH LẠNG SƠN </t>
  </si>
  <si>
    <t>Biểu số 62 - Thông tư 342/2016/TT-BTC</t>
  </si>
  <si>
    <t/>
  </si>
  <si>
    <t>Nội dung chi</t>
  </si>
  <si>
    <t>So sánh QT/DT(%)</t>
  </si>
  <si>
    <t>XDCB từ nguồn vốn trong nước</t>
  </si>
  <si>
    <t>XSKT</t>
  </si>
  <si>
    <t>Sử dụng đất</t>
  </si>
  <si>
    <t>Tăng thu</t>
  </si>
  <si>
    <t>ODA</t>
  </si>
  <si>
    <t>CT MT khác</t>
  </si>
  <si>
    <t>Tổng số</t>
  </si>
  <si>
    <t>Tổng số Chi NSĐP</t>
  </si>
  <si>
    <t>Chi NS cấp tỉnh</t>
  </si>
  <si>
    <t>Chi NS cấp huyện</t>
  </si>
  <si>
    <t>Chi NS xã</t>
  </si>
  <si>
    <t>Biểu công khai</t>
  </si>
  <si>
    <t>Thống nhất</t>
  </si>
  <si>
    <t>CHI CÂN ĐỐI NGÂN SÁCH</t>
  </si>
  <si>
    <t>Chi đầu tư phát triển cho chương trình, dự án theo lĩnh vực</t>
  </si>
  <si>
    <t>1.1</t>
  </si>
  <si>
    <t>Chi quốc phòng</t>
  </si>
  <si>
    <t>1.2</t>
  </si>
  <si>
    <t>Chi an ninh và trật tự an toàn xã hội</t>
  </si>
  <si>
    <t>1.3</t>
  </si>
  <si>
    <t>1.4</t>
  </si>
  <si>
    <t>1.5</t>
  </si>
  <si>
    <t>1.6</t>
  </si>
  <si>
    <t>1.7</t>
  </si>
  <si>
    <t>1.8</t>
  </si>
  <si>
    <t>1.9</t>
  </si>
  <si>
    <t>Chi các hoạt động kinh tế</t>
  </si>
  <si>
    <t>1.11</t>
  </si>
  <si>
    <t>Chi hoạt động của các cơ quan quản lý nhà nước, đảng, đoàn thể</t>
  </si>
  <si>
    <t>1.12</t>
  </si>
  <si>
    <t>1.13</t>
  </si>
  <si>
    <t>Chi ngành, lĩnh vực khác</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</si>
  <si>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</si>
  <si>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</si>
  <si>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Chi trả nợ lãi vay theo quy định</t>
  </si>
  <si>
    <t>2.3</t>
  </si>
  <si>
    <t>2.4</t>
  </si>
  <si>
    <t>2.5</t>
  </si>
  <si>
    <t>2.6</t>
  </si>
  <si>
    <t>2.7</t>
  </si>
  <si>
    <t>2.8</t>
  </si>
  <si>
    <t>2.9</t>
  </si>
  <si>
    <t>2.11</t>
  </si>
  <si>
    <t>2.12</t>
  </si>
  <si>
    <t>Chi đảm bảo xã hội</t>
  </si>
  <si>
    <t>2.13</t>
  </si>
  <si>
    <t>Chi khác</t>
  </si>
  <si>
    <t>Chi chuyển nguồn</t>
  </si>
  <si>
    <t>VII</t>
  </si>
  <si>
    <t>Chi dự phòng ngân sách</t>
  </si>
  <si>
    <t>CHI BỔ SUNG CHO NGÂN SÁCH CẤP DƯỚI</t>
  </si>
  <si>
    <t>Tr. đó:   - Bằng nguồn vốn trong nước</t>
  </si>
  <si>
    <t xml:space="preserve">             - Bằng nguồn vốn ngoài nước</t>
  </si>
  <si>
    <t>CHI NỘP NGÂN SÁCH CẤP TRÊN</t>
  </si>
  <si>
    <t>Biểu số 68 - Thông tư 342/2016/TT-BTC</t>
  </si>
  <si>
    <t>THUYẾT MINH TÌNH HÌNH SỬ DỤNG</t>
  </si>
  <si>
    <t>Dự phòng</t>
  </si>
  <si>
    <t>Thưởng vượt dự toán thu</t>
  </si>
  <si>
    <t>Ghi chú</t>
  </si>
  <si>
    <t>Ngân sách tỉnh</t>
  </si>
  <si>
    <t>Hữu Lũng</t>
  </si>
  <si>
    <t>Chi Lăng</t>
  </si>
  <si>
    <t>Thành phố</t>
  </si>
  <si>
    <t>Cao Lộc</t>
  </si>
  <si>
    <t>Lộc Bình</t>
  </si>
  <si>
    <t>Đình Lập</t>
  </si>
  <si>
    <t>Văn Lãng</t>
  </si>
  <si>
    <t>Tràng Định</t>
  </si>
  <si>
    <t>Văn Quan</t>
  </si>
  <si>
    <t>Bình Gia</t>
  </si>
  <si>
    <t>Bắc Sơn</t>
  </si>
  <si>
    <t>Ngân sách huyện</t>
  </si>
  <si>
    <t>2=3+4</t>
  </si>
  <si>
    <t>5=6+7</t>
  </si>
  <si>
    <t>Tổng nguồn</t>
  </si>
  <si>
    <t>Năm trước chuyển sang</t>
  </si>
  <si>
    <t>Số giao đầu năm</t>
  </si>
  <si>
    <t>Số điều chỉnh giảm trong năm</t>
  </si>
  <si>
    <t>Số trích lập bổ sung trong năm</t>
  </si>
  <si>
    <t>Tổng kinh phí sử dụng đã được quyết toán chi NSĐP</t>
  </si>
  <si>
    <t>Chi đầu tư XDCB</t>
  </si>
  <si>
    <t>Chi đầu tư các công trình, dự án</t>
  </si>
  <si>
    <t>Bổ sung quỹ phát triển đất</t>
  </si>
  <si>
    <t>Hỗ trợ các huyện có tăng thu phí</t>
  </si>
  <si>
    <t>Chi đầu tư và hỗ trợ vốn doanh nghiệp (nếu có theo phân cấp)</t>
  </si>
  <si>
    <t>Chi phòng chống dịch tả lợn Châu Phi, dịch trên trâu bò</t>
  </si>
  <si>
    <t>Chi sự nghiệp Y tế</t>
  </si>
  <si>
    <t>Chi quản lý hành chính</t>
  </si>
  <si>
    <t>Chi an ninh</t>
  </si>
  <si>
    <t>Chi sự nghiệp kinh tế</t>
  </si>
  <si>
    <t>Chi  sự nghiệp văn hóa thể thao</t>
  </si>
  <si>
    <t>Chi sự nghiệp môi trường</t>
  </si>
  <si>
    <t>Chi sự nghiệp khác</t>
  </si>
  <si>
    <t>Chi khắc phục hậu quả thiên tai</t>
  </si>
  <si>
    <t>Chi khác ngân sách</t>
  </si>
  <si>
    <t>Chi bù hụt thu ngân sách</t>
  </si>
  <si>
    <t>Chi nộp trả ngân sách cấp trên</t>
  </si>
  <si>
    <t>Biểu số 70 - Thông tư 342/2016/TT-BTC</t>
  </si>
  <si>
    <t>Đơn vị tính:  Triệu đồng</t>
  </si>
  <si>
    <t>Năm 2021 sang năm 2022</t>
  </si>
  <si>
    <t>Năm báo cáo so với năm liền kề</t>
  </si>
  <si>
    <t>Giải trình</t>
  </si>
  <si>
    <t>Số tuyệt đối</t>
  </si>
  <si>
    <t>Số tương đối</t>
  </si>
  <si>
    <t>3=2-1</t>
  </si>
  <si>
    <t>4=2/1</t>
  </si>
  <si>
    <t>Vốn cân đối ngân sách địa phương</t>
  </si>
  <si>
    <t>Đơn vị: Đồng</t>
  </si>
  <si>
    <t>Tên Chương Trình Mục Tiêu Quốc gia</t>
  </si>
  <si>
    <t>Mã Chương</t>
  </si>
  <si>
    <t>Mã Loại</t>
  </si>
  <si>
    <t>Mã Khoản</t>
  </si>
  <si>
    <t>Mã Mục</t>
  </si>
  <si>
    <t>Mã Tiểu Mục</t>
  </si>
  <si>
    <t>Số Quyết Toán</t>
  </si>
  <si>
    <t>Biểu số 65 - Thông tư 342/2016/TT-BTC</t>
  </si>
  <si>
    <t>Mẫu biểu số 66 - Thông tư 342/2016/TT-BTC</t>
  </si>
  <si>
    <t>Trong đó</t>
  </si>
  <si>
    <t>1=2+3+4</t>
  </si>
  <si>
    <t>Số quyết toán chi tăng, giảm so với dự toán</t>
  </si>
  <si>
    <t xml:space="preserve"> Do chính sách thay đổi</t>
  </si>
  <si>
    <t>Nhiệm vụ chi đột xuất được bổ sung</t>
  </si>
  <si>
    <t xml:space="preserve"> Tăng, giảm biên chế so với dự toán</t>
  </si>
  <si>
    <t>Mua sắm tài sản</t>
  </si>
  <si>
    <t>Trong đó: - Số ô tô</t>
  </si>
  <si>
    <t xml:space="preserve">                - Số kinh phí</t>
  </si>
  <si>
    <t xml:space="preserve"> - Kinh phí mua máy vi tính, máy in, máy scan</t>
  </si>
  <si>
    <t xml:space="preserve"> - Kinh phí mua bàn ghế</t>
  </si>
  <si>
    <t xml:space="preserve"> - Kinh  phí mua máy phô tô</t>
  </si>
  <si>
    <t xml:space="preserve"> - Kinh  phí mua sắm tài sản khác</t>
  </si>
  <si>
    <t xml:space="preserve"> Kinh phí sửa chữa </t>
  </si>
  <si>
    <t xml:space="preserve"> - Sửa chữa trụ sở làm việc, công trình cơ sở hạ tầng</t>
  </si>
  <si>
    <t xml:space="preserve"> - Sửa chữa ô tô, máy vi tinh, máy phô tô</t>
  </si>
  <si>
    <t>UBND TỈNH LẠNG SƠN</t>
  </si>
  <si>
    <t>Mẫu biểu số 67-Thông tư 342/2016/TT-BTC</t>
  </si>
  <si>
    <t>Ngân sách
cấp huyện</t>
  </si>
  <si>
    <t>Ngân sách
cấp xã</t>
  </si>
  <si>
    <t>Nguồn trong nước</t>
  </si>
  <si>
    <t xml:space="preserve"> Các tổ chức, cá nhân trong nước ủng hộ</t>
  </si>
  <si>
    <t>Nguồn của NSĐP</t>
  </si>
  <si>
    <t xml:space="preserve">            - Từ quỹ dự trữ tài chính</t>
  </si>
  <si>
    <t xml:space="preserve">            - Từ nguồn tăng thu</t>
  </si>
  <si>
    <t xml:space="preserve">            - Từ nguồn thưởng vượt thu</t>
  </si>
  <si>
    <t xml:space="preserve">            - Từ nguồn khác</t>
  </si>
  <si>
    <t>Các nguồn khác</t>
  </si>
  <si>
    <t xml:space="preserve"> Nguồn viện trợ nước ngoài</t>
  </si>
  <si>
    <t>Chi y tế</t>
  </si>
  <si>
    <t>Biểu số 69 - Thông tư 342/2016/TT-BTC</t>
  </si>
  <si>
    <t>Số tồn tại chưa xử lý</t>
  </si>
  <si>
    <t>Kiến nghị xử lý tài chính</t>
  </si>
  <si>
    <t>Các khoản thu hồi và giảm chi</t>
  </si>
  <si>
    <t>Giảm dự toán, giảm thanh toán</t>
  </si>
  <si>
    <t>Giảm giá trúng thầu , giảm giá trị hợp đồng còn lại</t>
  </si>
  <si>
    <t>Nộp trả ngân sách cấp trên</t>
  </si>
  <si>
    <t>Kiến nghị xử lý khác</t>
  </si>
  <si>
    <t>Điều tiết sai cấp ngân sách</t>
  </si>
  <si>
    <t>Nộp NSNN các khoản phải nộp nhưng chưa nộp</t>
  </si>
  <si>
    <t>Bổ sung hồ sơ, tài liệu làm căn cứ nghiệm thu, thanh quyết toán</t>
  </si>
  <si>
    <t>Theo dõi và trích lập bổ sung từ nguồn thu sử dụng đất</t>
  </si>
  <si>
    <t>Giảm chuyển nguồn tăng kết dư</t>
  </si>
  <si>
    <t>Theo dõi và trích lập bổ sung nguồn cải cách tiền lương</t>
  </si>
  <si>
    <t>Hoàn thiện thủ tục ghi thu ghi chi tiền thuê đất</t>
  </si>
  <si>
    <t>CÁN BỘ TRÌNH</t>
  </si>
  <si>
    <t>GIÁM ĐỐC SỞ TÀI CHÍNH</t>
  </si>
  <si>
    <t>Nguyễn Quốc Toàn</t>
  </si>
  <si>
    <t>Biểu mẫu số 63-Nghị định 31/2017/NĐ-CP</t>
  </si>
  <si>
    <t>Tên Quỹ</t>
  </si>
  <si>
    <t>Tổng nguồn vốn phát sinh trong năm</t>
  </si>
  <si>
    <t>Tổng sử dụng nguồn vốn trong năm</t>
  </si>
  <si>
    <t>Chênh lệch nguồn trong năm</t>
  </si>
  <si>
    <t>Trong đó: Hỗ trợ từ NSĐP (nếu có)</t>
  </si>
  <si>
    <t>5=2-4</t>
  </si>
  <si>
    <t>9=6-8</t>
  </si>
  <si>
    <t>10=1+6-8</t>
  </si>
  <si>
    <t>TỔNG CỘNG</t>
  </si>
  <si>
    <t>Quỹ Phát triển đất</t>
  </si>
  <si>
    <t>Quỹ Bảo vệ và phát triển rừng</t>
  </si>
  <si>
    <t>Quỹ Bảo vệ môi trường</t>
  </si>
  <si>
    <t>Biểu số 64 - Nghị định 31/2017/NĐ-CP</t>
  </si>
  <si>
    <t>(KHÔNG BAO GỒM NGUỒN NGÂN SÁCH NHÀ NƯỚC)</t>
  </si>
  <si>
    <t>So sánh (%)</t>
  </si>
  <si>
    <t>3=2/1</t>
  </si>
  <si>
    <t>TỔNG SỐ</t>
  </si>
  <si>
    <t>Sự nghiệp giáo dục - đào tạo và dạy nghề</t>
  </si>
  <si>
    <t>Sự nghiệp khoa học và công nghệ</t>
  </si>
  <si>
    <t>Sự nghiệp y tế</t>
  </si>
  <si>
    <t>Sự nghiệp văn hóa, thể thao và truyền thông</t>
  </si>
  <si>
    <t>Sự nghiệp kinh tế</t>
  </si>
  <si>
    <t>Sự nghiệp khác</t>
  </si>
  <si>
    <t>GIÁM ĐỐC KHO BẠC NHÀ NƯỚC TỈNH</t>
  </si>
  <si>
    <t>TM. ỦY BAN NHÂN DÂN TỈNH</t>
  </si>
  <si>
    <t>GIÁM ĐỐC KBNN</t>
  </si>
  <si>
    <t>Vi Thị Minh Hiền</t>
  </si>
  <si>
    <t>Đỗ Thị Thu Huyền</t>
  </si>
  <si>
    <t>4=3/1</t>
  </si>
  <si>
    <t>5=3/2</t>
  </si>
  <si>
    <t>VIII</t>
  </si>
  <si>
    <t>Chi trả nợ gốc vay</t>
  </si>
  <si>
    <t>CÂN ĐỐI QUYẾT TOÁN NGÂN SÁCH ĐỊA PHƯƠNG NĂM 2022</t>
  </si>
  <si>
    <t>Ngày      tháng       năm 2023</t>
  </si>
  <si>
    <t>Ngày      tháng      năm 2023</t>
  </si>
  <si>
    <t>Lạng Sơn, ngày       tháng      năm 2023</t>
  </si>
  <si>
    <t>QUYẾT TOÁN THU NGÂN SÁCH NHÀ NƯỚC, VAY NGÂN SÁCH ĐỊA PHƯƠNG NĂM 2022</t>
  </si>
  <si>
    <t>QUYẾT TOÁN CHI NGÂN SÁCH ĐỊA PHƯƠNG NĂM 2022</t>
  </si>
  <si>
    <t>TỔNG HỢP CÁC QUỸ TÀI CHÍNH NHÀ NƯỚC NGOÀI NGÂN SÁCH DO ĐỊA PHƯƠNG QUẢN LÝ NĂM 2022</t>
  </si>
  <si>
    <t>Lạng Sơn, ngày      tháng        năm 2023</t>
  </si>
  <si>
    <t>QUYẾT TOÁN CHI CHƯƠNG TRÌNH MỤC TIÊU THEO MỤC LỤC NSNN NĂM 2022</t>
  </si>
  <si>
    <t>Lạng Sơn, Ngày      tháng        năm 2023</t>
  </si>
  <si>
    <t>THUYẾT MINH CHI KHẮC PHỤC HẬU QUẢ THIÊN TAI NĂM 2022</t>
  </si>
  <si>
    <t>NGUỒN DỰ PHÒNG, TĂNG THU VÀ THƯỞNG VƯỢT DỰ TOÁN THU NGÂN SÁCH NĂM 2022</t>
  </si>
  <si>
    <t>BÁO CÁO TÌNH HÌNH KIỂM TOÁN, THANH TRA NĂM 2022</t>
  </si>
  <si>
    <t>Số xử lý năm 2022</t>
  </si>
  <si>
    <t>BÁO CÁO CHI CHUYỂN NGUỒN SANG NĂM SAU NĂM 2022</t>
  </si>
  <si>
    <t>QUYẾT TOÁN VAY, TRẢ NỢ NGÂN SÁCH ĐỊA PHƯƠNG NĂM 2022</t>
  </si>
  <si>
    <t>Ngày     tháng      năm 2023</t>
  </si>
  <si>
    <t>Lạng Sơn, ngày     tháng      năm 2023</t>
  </si>
  <si>
    <t>Thu hồi vốn, lợi nhuận, lợi nhuận sau thuế</t>
  </si>
  <si>
    <t>Thu từ bán cổ phần, vốn góp của Nhà nước nộp ngân sách</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</si>
  <si>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</si>
  <si>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</si>
  <si>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</si>
  <si>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</si>
  <si>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</si>
  <si>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</si>
  <si>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</si>
  <si>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1.10</t>
  </si>
  <si>
    <t>Chi bảo đảm xã hội</t>
  </si>
  <si>
    <t>2.10</t>
  </si>
  <si>
    <t>Chi từ nguồn tăng thu</t>
  </si>
  <si>
    <t xml:space="preserve">               - Bổ sung có mục tiêu</t>
  </si>
  <si>
    <t>IX</t>
  </si>
  <si>
    <t>Số dư nguồn đến ngày 31/12/2021</t>
  </si>
  <si>
    <t>Kế hoạch năm 2022</t>
  </si>
  <si>
    <t>Thực hiện năm 2022</t>
  </si>
  <si>
    <t>Dư nguồn đến 31/12/ 2022</t>
  </si>
  <si>
    <t>Sự nghiệp bảo vệ môi trường</t>
  </si>
  <si>
    <t>TỔNG HỢP THU DỊCH VỤ CỦA ĐƠN VỊ SỰ NGHIỆP CÔNG NĂM 2022</t>
  </si>
  <si>
    <t xml:space="preserve">- Kinh phí hỗ trợ công an viên bán chuyên trách theo Nghị quyết số 03/2021/NQ-HĐND ngày 03/2/2021 và người hoạt động ở thôn, tổ dân phố theo Nghị quyết số 04/2021/NQ-HĐND ngày 03/02/2021 </t>
  </si>
  <si>
    <t>- Kinh phí phát triển du lịch cộng đồng</t>
  </si>
  <si>
    <t>- Kinh phí nghiên cứu, biên soạn, tái bản có chỉnh lý, bổ sung Lịch sử Đảng bộ</t>
  </si>
  <si>
    <t>- Kinh phí chỉnh lý tài liệu</t>
  </si>
  <si>
    <t>- Kinh phí bầu trưởng thôn</t>
  </si>
  <si>
    <t>- Kinh phí diễn tập phòng cháy chữa cháy rừng</t>
  </si>
  <si>
    <t>- Kinh phí đảng viên được tăng huy hiệu 50 năm tuổi đảng</t>
  </si>
  <si>
    <t>- Kinh phí phục vụ công tác tuyển dụng viên chức năm 2022</t>
  </si>
  <si>
    <t>- Kinh phí trang phục thanh tra</t>
  </si>
  <si>
    <t>- Kinh phí đào tạo bồi dưỡng, tập huấn</t>
  </si>
  <si>
    <t>- Kinh phí xây dựng "Chính quyền thân thiện"</t>
  </si>
  <si>
    <t>- Kinh phí hỗ trợ hoạt động chuyên môn</t>
  </si>
  <si>
    <t>- Kinh phí tổ chức diễn đàn trẻ em các cấp</t>
  </si>
  <si>
    <t>- Kinh phí lập hồ sơ khoa học 6 xã ATK</t>
  </si>
  <si>
    <t xml:space="preserve"> - Kinh phí tổ chức các hoạt động chào mừng kỷ niệm 72 năm ngày giải phóng Thất Khê</t>
  </si>
  <si>
    <t xml:space="preserve"> - Kinh phí vệ sinh an toàn thực phẩm và công tác kiểm tra hành nghề y dược</t>
  </si>
  <si>
    <t xml:space="preserve"> - Kinh phí chuyển giao TTHC sang Bưu điện</t>
  </si>
  <si>
    <t xml:space="preserve"> - Kinh phí thi đua khen thưởng</t>
  </si>
  <si>
    <t xml:space="preserve">- Kinh phí hoạt động của Ban chỉ đạo 35 cấp huyện </t>
  </si>
  <si>
    <t>- Kinh phí trang trí khuôn viên 3-2 và ga quốc tế Đồng Đăng</t>
  </si>
  <si>
    <t>- Kinh phí hỗ trợ phòng chống dịch Covid - 19</t>
  </si>
  <si>
    <t>- Kinh phí tiền lương và các khoản có tính chất lương</t>
  </si>
  <si>
    <t>- Hỗ trợ hoạt động của HĐND, UBND huyện, huyện ủy, HĐND cấp xã</t>
  </si>
  <si>
    <t>- Kinh phí mai táng phí hưu xã</t>
  </si>
  <si>
    <t>- Kinh phí khắc phục hậu quả thiên tai</t>
  </si>
  <si>
    <t>Kinh phí thực hiện Nghị quyết số 11/2019/NQ-HĐND ngày 10/12/2019 của HĐND tỉnh Lạng Sơn.</t>
  </si>
  <si>
    <t>- Kinh phí hỗ trợ nguồn vốn ủy thác thực hiện Chỉ thị số 40/CT-TW ngày 22/11/2014 của Ban Bí thư Trung ương Đảng</t>
  </si>
  <si>
    <t>- Kinh phí hòa giải cơ sở</t>
  </si>
  <si>
    <t>- Kinh phí  trang bị cơ sở vật chất</t>
  </si>
  <si>
    <t xml:space="preserve"> - Kinh phí thăm tặng quà cho các đối tượng là Cựu chiến binh tham gia kháng chiến chống Pháp </t>
  </si>
  <si>
    <t xml:space="preserve"> - Kinh phí tổ chức 82 năm ngày Khởi nghĩa Bắc Sơn </t>
  </si>
  <si>
    <t xml:space="preserve"> - Kinh phí trang trí mừng xuân Nhâm Dần 2022</t>
  </si>
  <si>
    <t xml:space="preserve"> - Kinh phí Đề án phát triển du lịch</t>
  </si>
  <si>
    <t xml:space="preserve"> - Kinh phí sữa học đường học kỳ II năm học 2021-2022</t>
  </si>
  <si>
    <t>- Kinh phí học tập kinh nghiệm</t>
  </si>
  <si>
    <t>- Kinh phí ngày hội Đại đoàn kết</t>
  </si>
  <si>
    <t>- Kinh phí diễn tập phòng thủ</t>
  </si>
  <si>
    <t>- Kinh phí hỗ trợ công tác tổng quyết toán ngân sách năm 2021 và hỗ trợ công chức trực tiếp làm công tác TABMIS năm 2022</t>
  </si>
  <si>
    <t xml:space="preserve"> - Kinh phí lắp đặt màn hình Led P4 Fullcolor tại khuôn viên 3-2</t>
  </si>
  <si>
    <t xml:space="preserve"> - Kinh phí thăm chiến trường xưa năm 2022</t>
  </si>
  <si>
    <t xml:space="preserve"> - Kinh phí trợ cấp thôi việc</t>
  </si>
  <si>
    <t>- Kinh phí thanh toán công trình trên địa bàn huyện</t>
  </si>
  <si>
    <t>- Kinh phí hỗ trợ người có công với cách mạng về nhà ở năm 2021</t>
  </si>
  <si>
    <t>- Kinh phí hỗ trợ đưa trí thức trẻ có trình độ từ cao đẳng trở lên về làm việc có thời hạn tại Hợp tác xã nông nghiệp tháng 11 và tháng 12 năm 2022 theo Nghị quyết số 15/2021/NQ-HĐND ngày 17/7/2021 sửa đổi, bổ sung một số điều của Nghị quyết số 08/2019/NQ-HĐND ngày 10/12/2019 của HĐND tỉnh Lạng Sơn</t>
  </si>
  <si>
    <t>- Kinh phí hỗ trợ bồi thường tái định cư</t>
  </si>
  <si>
    <t>- Kinh phí logo cài áo, biểu tượng logo pha lê tuyên truyền, biểu tượng logo treo tại cổng chào Yên trạch, thị trấn Cao Lộc</t>
  </si>
  <si>
    <t>- Kinh phí tuyến phố đi bộ</t>
  </si>
  <si>
    <t>- Kinh phí hỗ trợ tổ chức Đại hội các cấp, các ngành, Hội nghị, ngày hội, tọa đàm…</t>
  </si>
  <si>
    <t>- Kinh phí các hoạt động đoàn năm 2022</t>
  </si>
  <si>
    <t>- Kinh phí hoạt động thường xuyên khác</t>
  </si>
  <si>
    <t>- Số biên chế tăng, giảm</t>
  </si>
  <si>
    <t xml:space="preserve"> - Số kinh phí tăng, giảm</t>
  </si>
  <si>
    <t>Trung ương</t>
  </si>
  <si>
    <t xml:space="preserve">Quỹ phòng chống thiên tai </t>
  </si>
  <si>
    <t>Chi giáo dục đào tạo</t>
  </si>
  <si>
    <t>Chi văn hoá thể thao</t>
  </si>
  <si>
    <t>Chi phát thanh truyền hình</t>
  </si>
  <si>
    <t>Tr. đó: - Từ nguồn dự phòng</t>
  </si>
  <si>
    <t>Trong đó tăng thu tiền sử dụng đất</t>
  </si>
  <si>
    <t>Chi sự nghiệp giáo dục đào tạo</t>
  </si>
  <si>
    <t>Chi quốc phòng, an ninh</t>
  </si>
  <si>
    <t>Chi phòng chống cháy rừng</t>
  </si>
  <si>
    <t>Nguồn còn tồn</t>
  </si>
  <si>
    <t>Dự toán năm</t>
  </si>
  <si>
    <t>Kiến nghị xử lý tài chính khác</t>
  </si>
  <si>
    <t>Hà Huy Tuấn</t>
  </si>
  <si>
    <t>1=2+…+6</t>
  </si>
  <si>
    <t>7=8+…+12</t>
  </si>
  <si>
    <t>13=14+…17</t>
  </si>
  <si>
    <t>TỔNG CỘNG</t>
  </si>
  <si>
    <t>Chi đầu tư phát triển thực hiện chuyển sang năm sau theo quy định của Luật đầu tư công. Trường hợp đặc biệt, Thủ tướng Chính phủ quyết định về việc cho phép chuyển nguồn sang năm sau nữa, nhưng không quá thời hạn giải ngân của dự án nằm trong kế hoạch đầu tư công trung hạn (Tiểu mục 0911)</t>
  </si>
  <si>
    <t>Chi mua sắm trang thiết bị đã đầy đủ hồ sơ, hợp đồng mua sắm trang thiết bị ký bước ngày 31 tháng 12 năm thực hiện dự toán (Tiểu mục 0912)</t>
  </si>
  <si>
    <t>Nguồn thực hiện chính sách tiền lương, phụ cấp, trợ cấp và các khoản tính theo tiền lương cơ sở, bảo trợ xã hội (Tiểu mục 0913)</t>
  </si>
  <si>
    <t>Kinh phí được giao tự chủ của các đơn vị sự nghiệp công lập và các cơ quan nhà nước; các khoản viện trợ không hoàn lại đã xác định cụ thể nhiệm vụ chi (Tiểu mục 0914)</t>
  </si>
  <si>
    <t>Các khoản dự toán được cấp có thẩm quyền bổ sung sau ngày 30 tháng 9 năm thực hiện dự toán, không bao gồm các khoản bổ sung do các đơn vị dự toán cấp trên điều chỉnh dự toán đã giao của các đơn vị dự toán trực thuộc (Tiểu mục 0915)</t>
  </si>
  <si>
    <t>Kinh phí nghiên cứu khoa học bố trí cho các đề tài, dự án nghiên cứu khoa học được cấp có thẩm quyền quyết định đang trong thời gian thực hiện (Tiểu mục 0916)</t>
  </si>
  <si>
    <t>Các khoản tăng thu, tiết kiệm chi được sử dụng theo quy định tại khoản 2 Điều 59 của Luật ngân sách nhà nước được cấp có thẩm quyền quyết định cho phép sử dụng vào năm sau (Tiểu mục 0917)</t>
  </si>
  <si>
    <t>Kinh phí khác theo quy định của pháp luật (Tiểu mục 0918)</t>
  </si>
  <si>
    <t>Kinh phí cải cách tiền lương, phụ cấp trợ cấp và các khoản tính theo tiền lương, bảo trợ xã hội còn dư năm 2022 và kinh phí trích 70% tăng thu thực hiện năm 2022 so với dự toán năm 2022 trên địa bàn tỉnh</t>
  </si>
  <si>
    <t>Kinh phí của các cơ quan, đơn vị thuộc nguồn kinh phí tự chủ được giao trong năm 2022, chuyển nguồn để tiếp tục thực hiện các nhiệm vụ theo quy định.</t>
  </si>
  <si>
    <t>Nguồn kinh phí bổ sung có mục tiêu cho các đơn vị sau ngày 30/9, do vậy các đơn vị chưa triển khai xong nhiệm vụ, nguồn kinh phí còn dư tiếp tục chuyển sang năm sau để thực hiện các nhiệm vụ mục tiêu đã giao.</t>
  </si>
  <si>
    <t>Kinh phí các đề tài, dự án khoa học công nghệ của Sở Khoa học và Công nghệ.</t>
  </si>
  <si>
    <t>Kinh phí tiết kiệm chi, điều chỉnh các nhiệm vụ chi và tăng thu ngân sách đã được ngân sách các cấp thực hiện xây dựng phương án sử dụng và xin ý kiến Thường trực HĐND cùng cấp chuyển nguồn sang năm sau theo đúng quy định của Luật Ngân sách nhà nước.</t>
  </si>
  <si>
    <t>Chuyển nguồn mua sắm trang thiết bị trường quay tọa đàm theo HĐ số 012022/PTTH-THANHNAM ký ngày 28/12/2022: 2.929.392.000 đồng; chuyển nguồn cam kết chi của Sở Giáo dục và Đào tạo: 19.805.470.000 đồng</t>
  </si>
  <si>
    <t>CHỦ TỊCH</t>
  </si>
  <si>
    <t>612</t>
  </si>
  <si>
    <t>280</t>
  </si>
  <si>
    <t>281</t>
  </si>
  <si>
    <t>6550</t>
  </si>
  <si>
    <t>6551</t>
  </si>
  <si>
    <t>7000</t>
  </si>
  <si>
    <t>7001</t>
  </si>
  <si>
    <t>7049</t>
  </si>
  <si>
    <t>624</t>
  </si>
  <si>
    <t>7100</t>
  </si>
  <si>
    <t>7149</t>
  </si>
  <si>
    <t>Quy hoạch xây dựng nông thôn mới</t>
  </si>
  <si>
    <t>800</t>
  </si>
  <si>
    <t>332</t>
  </si>
  <si>
    <t>8150</t>
  </si>
  <si>
    <t>8153</t>
  </si>
  <si>
    <t>Phát triển hạ tầng kinh tế - xã hội</t>
  </si>
  <si>
    <t>605</t>
  </si>
  <si>
    <t>340</t>
  </si>
  <si>
    <t>341</t>
  </si>
  <si>
    <t>9300</t>
  </si>
  <si>
    <t>9301</t>
  </si>
  <si>
    <t>799</t>
  </si>
  <si>
    <t>070</t>
  </si>
  <si>
    <t>071</t>
  </si>
  <si>
    <t>9250</t>
  </si>
  <si>
    <t>9254</t>
  </si>
  <si>
    <t>9400</t>
  </si>
  <si>
    <t>9402</t>
  </si>
  <si>
    <t>9449</t>
  </si>
  <si>
    <t>072</t>
  </si>
  <si>
    <t>9401</t>
  </si>
  <si>
    <t>073</t>
  </si>
  <si>
    <t>160</t>
  </si>
  <si>
    <t>161</t>
  </si>
  <si>
    <t>283</t>
  </si>
  <si>
    <t>292</t>
  </si>
  <si>
    <t>302</t>
  </si>
  <si>
    <t>309</t>
  </si>
  <si>
    <t>417</t>
  </si>
  <si>
    <t>100</t>
  </si>
  <si>
    <t>103</t>
  </si>
  <si>
    <t>7017</t>
  </si>
  <si>
    <t>6100</t>
  </si>
  <si>
    <t>6149</t>
  </si>
  <si>
    <t>6599</t>
  </si>
  <si>
    <t>285</t>
  </si>
  <si>
    <t>7750</t>
  </si>
  <si>
    <t>7799</t>
  </si>
  <si>
    <t>Chương trình mục tiêu quốc gia giảm nghèo bền vững giai đoạn 2021-2025</t>
  </si>
  <si>
    <t>560</t>
  </si>
  <si>
    <t>400</t>
  </si>
  <si>
    <t>428</t>
  </si>
  <si>
    <t>Hỗ trợ đầu tư phát triển hạ tầng kinh tế - xã hội các huyện nghèo, các xã đặc biệt khó khăn vùng bãi ngang, ven biển và hải đảo</t>
  </si>
  <si>
    <t>130</t>
  </si>
  <si>
    <t>132</t>
  </si>
  <si>
    <t>620</t>
  </si>
  <si>
    <t>6900</t>
  </si>
  <si>
    <t>6922</t>
  </si>
  <si>
    <t>Hỗ trợ phát triển sản xuất, cải thiện dinh dưỡng</t>
  </si>
  <si>
    <t>Phát triển giáo dục nghề nghiệp, việc làm bền vững</t>
  </si>
  <si>
    <t>422</t>
  </si>
  <si>
    <t>093</t>
  </si>
  <si>
    <t>6600</t>
  </si>
  <si>
    <t>6606</t>
  </si>
  <si>
    <t>6700</t>
  </si>
  <si>
    <t>6701</t>
  </si>
  <si>
    <t>6702</t>
  </si>
  <si>
    <t>6703</t>
  </si>
  <si>
    <t>6750</t>
  </si>
  <si>
    <t>6751</t>
  </si>
  <si>
    <t>6756</t>
  </si>
  <si>
    <t>6912</t>
  </si>
  <si>
    <t>423</t>
  </si>
  <si>
    <t>6500</t>
  </si>
  <si>
    <t>6502</t>
  </si>
  <si>
    <t>424</t>
  </si>
  <si>
    <t>098</t>
  </si>
  <si>
    <t>6650</t>
  </si>
  <si>
    <t>6651</t>
  </si>
  <si>
    <t>6652</t>
  </si>
  <si>
    <t>6654</t>
  </si>
  <si>
    <t>6655</t>
  </si>
  <si>
    <t>6699</t>
  </si>
  <si>
    <t>370</t>
  </si>
  <si>
    <t>398</t>
  </si>
  <si>
    <t>6754</t>
  </si>
  <si>
    <t>6799</t>
  </si>
  <si>
    <t>622</t>
  </si>
  <si>
    <t>075</t>
  </si>
  <si>
    <t>8000</t>
  </si>
  <si>
    <t>8008</t>
  </si>
  <si>
    <t>338</t>
  </si>
  <si>
    <t>7012</t>
  </si>
  <si>
    <t>Truyền thông và giảm nghèo về thông tin</t>
  </si>
  <si>
    <t>171</t>
  </si>
  <si>
    <t>6608</t>
  </si>
  <si>
    <t>6658</t>
  </si>
  <si>
    <t>625</t>
  </si>
  <si>
    <t>640</t>
  </si>
  <si>
    <t>190</t>
  </si>
  <si>
    <t>191</t>
  </si>
  <si>
    <t>Nâng cao năng lực và giám sát, đánh giá Chương trình</t>
  </si>
  <si>
    <t>412</t>
  </si>
  <si>
    <t>6503</t>
  </si>
  <si>
    <t>7756</t>
  </si>
  <si>
    <t>083</t>
  </si>
  <si>
    <t>6653</t>
  </si>
  <si>
    <t>6400</t>
  </si>
  <si>
    <t>6449</t>
  </si>
  <si>
    <t>442</t>
  </si>
  <si>
    <t>201</t>
  </si>
  <si>
    <t>483</t>
  </si>
  <si>
    <t>510</t>
  </si>
  <si>
    <t>361</t>
  </si>
  <si>
    <t>6749</t>
  </si>
  <si>
    <t>511</t>
  </si>
  <si>
    <t>512</t>
  </si>
  <si>
    <t>513</t>
  </si>
  <si>
    <t>6105</t>
  </si>
  <si>
    <t>6657</t>
  </si>
  <si>
    <t>7761</t>
  </si>
  <si>
    <t>Chương trình mục tiêu quốc gia xây dựng nông thôn mới giai đoạn 2021-2025</t>
  </si>
  <si>
    <t>6401</t>
  </si>
  <si>
    <t>6752</t>
  </si>
  <si>
    <t>8049</t>
  </si>
  <si>
    <t>Nâng cao hiệu quả quản lý và thực hiện xây dựng nông thôn mới theo quy hoạch nhằm nâng cao đời sống kinh tế - xã hội nông thôn gắn với quá trình đô thị hóa</t>
  </si>
  <si>
    <t>8199</t>
  </si>
  <si>
    <t>220</t>
  </si>
  <si>
    <t>221</t>
  </si>
  <si>
    <t>6907</t>
  </si>
  <si>
    <t>6918</t>
  </si>
  <si>
    <t>6921</t>
  </si>
  <si>
    <t>6949</t>
  </si>
  <si>
    <t>312</t>
  </si>
  <si>
    <t>9150</t>
  </si>
  <si>
    <t>9153</t>
  </si>
  <si>
    <t>6552</t>
  </si>
  <si>
    <t>6950</t>
  </si>
  <si>
    <t>6999</t>
  </si>
  <si>
    <t>Phát triển hạ tầng kinh tế - xã hội, cơ bản đồng bộ, hiện đại, đảm bảo kết nối nông thôn - đô thị và kết nối các vùng miền</t>
  </si>
  <si>
    <t>9251</t>
  </si>
  <si>
    <t>9349</t>
  </si>
  <si>
    <t>139</t>
  </si>
  <si>
    <t>9350</t>
  </si>
  <si>
    <t>9351</t>
  </si>
  <si>
    <t>9200</t>
  </si>
  <si>
    <t>9203</t>
  </si>
  <si>
    <t>311</t>
  </si>
  <si>
    <t>314</t>
  </si>
  <si>
    <t>429</t>
  </si>
  <si>
    <t>413</t>
  </si>
  <si>
    <t>282</t>
  </si>
  <si>
    <t>8006</t>
  </si>
  <si>
    <t>Nâng cao chất lượng giáo dục, y tế và chăm sóc sức khỏe người dân nông thôn</t>
  </si>
  <si>
    <t>9354</t>
  </si>
  <si>
    <t>091</t>
  </si>
  <si>
    <t>6250</t>
  </si>
  <si>
    <t>6299</t>
  </si>
  <si>
    <t>Nâng cao chất lượng đời sống văn hóa của người dân nông thôn bảo tồn và phát huy các giá trị văn hóa truyền thống theo hướng bền vững gắn với phát triển du lịch nông thôn</t>
  </si>
  <si>
    <t>425</t>
  </si>
  <si>
    <t>040</t>
  </si>
  <si>
    <t>041</t>
  </si>
  <si>
    <t>6955</t>
  </si>
  <si>
    <t>250</t>
  </si>
  <si>
    <t>278</t>
  </si>
  <si>
    <t>Nâng cao chất lượng môi trường xây dựng cảnh quan nông thôn sáng - xanh - sạch - đẹp, an toàn giữ gìn và khôi phục cảnh quan truyền thống của nông thôn Việt Nam</t>
  </si>
  <si>
    <t>6704</t>
  </si>
  <si>
    <t>626</t>
  </si>
  <si>
    <t>261</t>
  </si>
  <si>
    <t>6923</t>
  </si>
  <si>
    <t>Nâng cao chất lượng, phát huy vai trò của Mặt trận Tổ quốc Việt Nam và các tổ chức chính trị - xã hội trong xây dựng nông thôn mới</t>
  </si>
  <si>
    <t>514</t>
  </si>
  <si>
    <t>Giữ vững quốc phòng, an ninh và trật tự xã hội nông thôn</t>
  </si>
  <si>
    <t>509</t>
  </si>
  <si>
    <t>351</t>
  </si>
  <si>
    <t>533</t>
  </si>
  <si>
    <t>362</t>
  </si>
  <si>
    <t>599</t>
  </si>
  <si>
    <t>6913</t>
  </si>
  <si>
    <t>6956</t>
  </si>
  <si>
    <t>6254</t>
  </si>
  <si>
    <t>7050</t>
  </si>
  <si>
    <t>7053</t>
  </si>
  <si>
    <t>710</t>
  </si>
  <si>
    <t>711</t>
  </si>
  <si>
    <t>712</t>
  </si>
  <si>
    <t>713</t>
  </si>
  <si>
    <t>714</t>
  </si>
  <si>
    <t>Giải quyết tình trạng thiếu đất ở, nhà ở, đất sản xuất, nước sinh hoạt</t>
  </si>
  <si>
    <t>7103</t>
  </si>
  <si>
    <t>7450</t>
  </si>
  <si>
    <t>7499</t>
  </si>
  <si>
    <t>Quy hoạch, sắp xếp, bố trí, ổn định dân cư ở những nơi cần thiết</t>
  </si>
  <si>
    <t>Phát triển sản xuất nông, lâm nghiệp bền vững, phát huy tiềm năng, thế mạnh của các vùng miền để sản xuất hàng hóa theo chuỗi giá trị</t>
  </si>
  <si>
    <t>6501</t>
  </si>
  <si>
    <t>6601</t>
  </si>
  <si>
    <t>6605</t>
  </si>
  <si>
    <t>9252</t>
  </si>
  <si>
    <t>9253</t>
  </si>
  <si>
    <t>Phát triển giáo dục đào tạo nâng cao chất lượng nguồn nhân lực</t>
  </si>
  <si>
    <t>6649</t>
  </si>
  <si>
    <t>9356</t>
  </si>
  <si>
    <t>085</t>
  </si>
  <si>
    <t>Bảo tồn, phát huy giá trị văn hóa truyền thống tốt đẹp của các dân tộc thiểu số gắn với phát triển du lịch</t>
  </si>
  <si>
    <t>7004</t>
  </si>
  <si>
    <t>6954</t>
  </si>
  <si>
    <t>9303</t>
  </si>
  <si>
    <t>9399</t>
  </si>
  <si>
    <t>Chăm sóc sức khỏe Nhân dân, nâng cao thể trạng, tầm vóc người dân tộc thiểu số phòng chống suy dinh dưỡng trẻ em</t>
  </si>
  <si>
    <t>623</t>
  </si>
  <si>
    <t>131</t>
  </si>
  <si>
    <t>6350</t>
  </si>
  <si>
    <t>6353</t>
  </si>
  <si>
    <t>Thực hiện bình đẳng giới và giải quyết những vấn đề cấp thiết đối với phụ nữ và trẻ em</t>
  </si>
  <si>
    <t>6200</t>
  </si>
  <si>
    <t>6249</t>
  </si>
  <si>
    <t>Đầu tư phát triển nhóm dân tộc thiểu số rất ít người và nhóm dân tộc còn nhiều khó khăn</t>
  </si>
  <si>
    <t>Truyền thông, tuyên truyền, vận động trong vùng đồng bào dân tộc thiểu số và miền núi. Kiểm tra, giám sát đánh giá việc tổ chức thực hiện chương trình</t>
  </si>
  <si>
    <t>414</t>
  </si>
  <si>
    <t>416</t>
  </si>
  <si>
    <t>426</t>
  </si>
  <si>
    <t>427</t>
  </si>
  <si>
    <t>614</t>
  </si>
  <si>
    <t>6201</t>
  </si>
  <si>
    <t>760</t>
  </si>
  <si>
    <t>Dự án, mục tiêu khác</t>
  </si>
  <si>
    <t>6905</t>
  </si>
  <si>
    <t>Dự án, mục tiêu khac</t>
  </si>
  <si>
    <t>421</t>
  </si>
  <si>
    <t>Các chương trình mục tiêu, dự án khác</t>
  </si>
  <si>
    <t>Nông Thị Hương Lan</t>
  </si>
  <si>
    <t>Ngày      tháng        năm 2023</t>
  </si>
  <si>
    <t>Hồ Tiến Thiệu</t>
  </si>
  <si>
    <t>- Kinh phí tham gia các cuộc thi của tỉnh, huyện tổ chức</t>
  </si>
  <si>
    <t>- Kinh phí được trich lại 30%  từ số tiền sai phạm thu hồi sau thanh tra năm 2020</t>
  </si>
  <si>
    <t>- Kinh phí đề án công nhận thị trấn Thất Khê đạt đô thị loại V</t>
  </si>
  <si>
    <t>- Kinh phí khám sức khoẻ nghĩa vụ quân sự, chiến sỹ mới</t>
  </si>
  <si>
    <t>- Kinh phí phục vụ công tác tổ chức Hiến máu tình nguyện trên địa bàn huyện năm 2022, khám chữa bệnh nhân đạo</t>
  </si>
  <si>
    <t xml:space="preserve"> - Kinh phí tham gia gian hàng Hội chợ Thương mại Quốc tế Việt Trung Lạng Sơn năm 2022</t>
  </si>
  <si>
    <r>
      <t>Thuế thu nhập doanh nghiệp</t>
    </r>
    <r>
      <rPr>
        <vertAlign val="superscript"/>
        <sz val="12"/>
        <rFont val="Times New Roman"/>
        <family val="1"/>
      </rPr>
      <t xml:space="preserve"> </t>
    </r>
  </si>
  <si>
    <t>Kinh phí tăng 02 biên chế mới được giao thêm năm 2022</t>
  </si>
  <si>
    <t>TỔNG SỐ (A+B+C)</t>
  </si>
  <si>
    <t>Trần Quang Nguyên</t>
  </si>
  <si>
    <t>Quỹ Phòng chống thiên tai</t>
  </si>
  <si>
    <t>Quỹ Phòng chống tội phạm</t>
  </si>
  <si>
    <t>Quỹ Hỗ trợ nông dân</t>
  </si>
  <si>
    <t>Quỹ Hỗ trợ phát triển HTX</t>
  </si>
  <si>
    <t>Kế hoạch
năm 2022</t>
  </si>
  <si>
    <t>Thực hiện
năm 2022</t>
  </si>
  <si>
    <t>Hỗ trợ phát triển sản xuất, đa dạng hóa sinh kế và nhân rộng mô hình nghèo trên địa bàn các xã ngoài Chương trình 30a và Chương trình 135</t>
  </si>
  <si>
    <t>Các nội dung về hỗ trợ phát triển sản xuất gắn với tái cơ cấu ngành nông nghiệp, chuyển dịch cơ cấu kinh tế nông thôn, nâng cao thu nhập người dân</t>
  </si>
  <si>
    <t>THUYẾT MINH TĂNG, GIẢM CHI QUẢN LÝ HÀNH CHÍNH, ĐẢNG, ĐOÀN THỂ 
NĂM 2022</t>
  </si>
  <si>
    <t>- Kinh phí Chương trình mục tiêu quốc gia</t>
  </si>
  <si>
    <t>- Kinh phí thực hiện Nghị quyết 08/2019/NQ-HĐND của HĐND tỉnh</t>
  </si>
  <si>
    <t>- Kinh phí gặp mặt Ban coi thi Kỳ thi tốt nghiệp THPT năm 2022</t>
  </si>
  <si>
    <t xml:space="preserve"> - Kinh phí hoạt động thường xuyên giám sát, phản biện xã hội của MTTQ và các đoàn thể chính trị - xã hội năm 2022</t>
  </si>
  <si>
    <t>- Kinh phí thực hiện trợ cấp lần đầu, chuyển vùng theo Nghị định số 76/2019/NĐ-CP ngày 08/10/2019 của Chính phủ</t>
  </si>
  <si>
    <t>- Kinh phí hỗ trợ đón chuẩn nông thôn mới</t>
  </si>
  <si>
    <t>- Kinh phí triển khai Quyết định số 387/QĐ-TTg của Thủ tướng Chính phủ về đẩy mạnh phong trào học tập suốt đời trong gia đình, cộng đồng, dòng họ 2021-2030</t>
  </si>
  <si>
    <t>- Kinh phí thực hiện chính sách hỗ trợ cộng tác viên dân số</t>
  </si>
  <si>
    <t xml:space="preserve">- Kinh phí hỗ trợ đối tượng dôi dư theo Nghị quyết số 01/2020/NQ-HĐND và trợ cấp một lần đối với Công an xã theo Nghị định số 73/2009/NĐ-CP ngày 07/9/2009 của Chính phủ </t>
  </si>
  <si>
    <t>- Kinh phí thực hiện Nghị định số 81/2021/NĐ-CP của Chính phủ</t>
  </si>
  <si>
    <t>- Kinh phí tinh giản biên chế theo Nghị định số 26/2015/NĐ-CP của Chính phủ</t>
  </si>
  <si>
    <t>- Kinh phí tinh giản biên chế theo Nghị định số 108/2014/NĐ-CP của Chính phủ</t>
  </si>
  <si>
    <t>Ngân sách cấp tỉnh</t>
  </si>
  <si>
    <t>Ngân sách cấp huyện</t>
  </si>
  <si>
    <t>Ngân sách 
cấp xã</t>
  </si>
  <si>
    <t>Ngân sách 
cấp tỉnh</t>
  </si>
  <si>
    <t>Chi đảm bảo xã hội: kinh phí hỗ trợ người dân bị ảnh hưởng đại dịch Covid-19, hỗ trợ nhà ở người có công…</t>
  </si>
  <si>
    <t>Chi phòng chống dịch Covid-19</t>
  </si>
  <si>
    <t>Kiến nghị giảm lỗ tại doanh nghiệp</t>
  </si>
  <si>
    <t>Các khoản tăng thu, giảm thuế GTGT được khấu trừ, giảm thuế tài nguyên môi trường nộp thừa</t>
  </si>
  <si>
    <t>Kiến nghị xử lý khác thu ngân sách</t>
  </si>
  <si>
    <t>Kiến nghị xử lý khác chi ngân sách</t>
  </si>
  <si>
    <t>Số kiến nghị của Kiểm toán</t>
  </si>
  <si>
    <t xml:space="preserve"> KTNN Khu vực X kiểm toán chuyên đề quyết toán năm 2021 </t>
  </si>
  <si>
    <t xml:space="preserve"> KTNN Khu vực X kiểm toán NSĐP năm 2020 </t>
  </si>
  <si>
    <t xml:space="preserve"> KTNN Khu vực X kiểm toán NSĐP năm 2019 </t>
  </si>
  <si>
    <t xml:space="preserve">  KTNN Khu vực X kiểm toán NSĐP năm 2018 </t>
  </si>
  <si>
    <t xml:space="preserve">  KTNN Khu vực X kiểm toán NSĐP năm 2017 trở về trước </t>
  </si>
  <si>
    <t xml:space="preserve">  KTNN Khu vực X kiểm toán chuyên đề quyết toán năm 2021 </t>
  </si>
  <si>
    <t xml:space="preserve"> KTNN Khu vực X kiểm toán NSĐP năm 2020</t>
  </si>
  <si>
    <t xml:space="preserve"> KTNN Khu vực X kiểm toán NSĐP năm 2019</t>
  </si>
  <si>
    <t xml:space="preserve"> KTNN Khu vực X kiểm toán NSĐP năm 2018</t>
  </si>
  <si>
    <t xml:space="preserve"> KTNN Khu vực X kiểm toán NSĐP năm 2017 trở về trước</t>
  </si>
  <si>
    <t xml:space="preserve">  KTNN Khu vực X kiểm toán NSĐP năm 2019 </t>
  </si>
  <si>
    <t xml:space="preserve"> KTNN Khu vực X kiểm toán NSĐP năm 2018 </t>
  </si>
  <si>
    <t xml:space="preserve"> KTNN Khu vực X kiểm toán NSĐP năm 2017 trở về trước </t>
  </si>
  <si>
    <t>Kiến nghị xử lý khác thu ngân sách tỉnh đã thực hiện ngay sau khi kết thúc kiểm toán</t>
  </si>
  <si>
    <t xml:space="preserve">Kiến nghị xử lý khác thu ngân sách còn lại </t>
  </si>
  <si>
    <t>Kiến nghị xử lý khác chi ngân sách còn lại</t>
  </si>
  <si>
    <t>Thu hồi, nộp ngân sách các khoản chi sai quy định</t>
  </si>
  <si>
    <t>Năm 2022 sang năm 2023</t>
  </si>
  <si>
    <t xml:space="preserve">Vốn đầu tư phát triển thực hiện Chương trình mục tiêu quốc gia theo quy định tại khoản 5, Điều 2, Nghị quyết 69/2022/QH15 ngày 11/11/2022 của Quốc hội khóa XV và khoản 2 điều 68 Luật Đầu tư công: 254.815 triệu đồng, số dư tạm ứng chuyển nguồn sang năm sau: 897.052 triệu đồng, chuyển nguồn vốn đầu tư phát triển ngân sách địa phương theo khoản 2 điều 68 Luật Đầu tư công: 87.044 triệu đồng. </t>
  </si>
  <si>
    <t>Lạng Sơn, ngày       tháng 9 năm 2023</t>
  </si>
  <si>
    <t xml:space="preserve">Kinh phí thực hiện các Chương trình mục tiêu quốc gia thực hiện chuyển nguồn theo quy định tại khoản 5, Điều 2, Nghị quyết 69/2022/QH15 ngày 11/11/2022 của Quốc hội: 294.681 triệu đồng và kinh phí thực hiện các chế độ, chính sách còn nhiệm vụ chi chuyển nguồn sang năm 2023: 35.672 triệu đồng (kinh phí hỗ trợ khắc phục hậu quả thiên tai 10 tháng năm 2022 tại cấp huyện: 26.827 triệu đồng, kinh phí phòng chống dịch Covid-19: 17 triệu đồng, kinh phí thực hiện tiền lương, chế độ chính sách, kinh phí cấp sau 30/9,…): 8.829 triệu đồng. </t>
  </si>
  <si>
    <t>TM. ỦY BAN NHÂN DÂN</t>
  </si>
  <si>
    <t>Chỉ tiêu</t>
  </si>
  <si>
    <t>Dự toán Thủ tướng Chính phủ giao</t>
  </si>
  <si>
    <t>Dự toán HĐND tỉnh giao</t>
  </si>
  <si>
    <t>Quyết toán</t>
  </si>
  <si>
    <t xml:space="preserve">So sánh số quyết toán với </t>
  </si>
  <si>
    <t>Dư nợ vay đầu năm</t>
  </si>
  <si>
    <t>Tổng số vay trong năm</t>
  </si>
  <si>
    <t>Chi trả nợ gốc trong năm</t>
  </si>
  <si>
    <t>Dư nợ vay cuối năm</t>
  </si>
  <si>
    <t xml:space="preserve"> - Kinh phí mua sắm trang thiết bị trụ sở làm việc</t>
  </si>
  <si>
    <t>Tiếp tục thực hiện có hiệu quả cơ cấu lại ngành nông nghiệp, phát triển kinh tế nông thôn triển khai mạnh mẽ Chương trình mỗi xã một sản phẩm (OCOP) nhằm nâng cao giá trị gia tăng, phù hợp với quá trình chuyển đổi số, thích ứng với biến đổi khí hậu; phát triển mạnh ngành nghề nông thôn; phát triển du lịch nông thôn; nâng cao hiệu quả hoạt động của các hợp tác xã; hỗ trợ các doanh nghiệp khởi nghiệp ở nông thôn; nâng cao chất lượng đào tạo nghề cho lao động nông thôn... góp phần nâng cao thu nhập người dân theo hướng bền vững.</t>
  </si>
  <si>
    <t>Đẩy mạnh và nâng cao chất lượng các dịch vụ hành chính công nâng cao chất lượng hoạt động của chính quyền cơ sở thúc đẩy quá trình chuyển đổi số trong nông thôn mới, tăng cường ứng dụng công nghệ thông tin, công nghệ số, xây dựng NTM thông minh; bảo đảm và tăng cường khả năng tiếp cận pháp luật cho người dân; tăng cường giải pháp nhằm đảm bảo bình đẳng giới và phòng chống bạo lực trên cơ sở giới.</t>
  </si>
  <si>
    <t>Tăng cường công tác giám sát, đánh giá thực hiện Chương trình; nâng cao năng lực xây dựng nông thôn mới; truyền thông về xây dựng nông thôn mới; thực hiện Phong trào thi đua cả nước chung sức xây dựng nông thôn mới</t>
  </si>
  <si>
    <t xml:space="preserve">Đầu tư cơ sở hạ tầng thiết yếu, phục vụ sản xuất, đời sống trong vùng đồng bào dân tộc thiểu số và miền núi và các đơn vị sự nghiệp công lập của lĩnh vực dân tộc </t>
  </si>
  <si>
    <t>(Kèm theo Báo cáo số  571 /BC-UBND ngày  10  tháng 11 năm 2023 của Ủy ban nhân dân tỉnh)</t>
  </si>
</sst>
</file>

<file path=xl/styles.xml><?xml version="1.0" encoding="utf-8"?>
<styleSheet xmlns="http://schemas.openxmlformats.org/spreadsheetml/2006/main">
  <numFmts count="8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_);_(* \(#,##0\);_(* &quot;-&quot;??_);_(@_)"/>
    <numFmt numFmtId="166" formatCode="#,##0.0"/>
    <numFmt numFmtId="167" formatCode="#,##0;[Red]#,##0"/>
    <numFmt numFmtId="168" formatCode="_-* #,##0\ _₫_-;\-* #,##0\ _₫_-;_-* &quot;-&quot;??\ _₫_-;_-@_-"/>
    <numFmt numFmtId="169" formatCode="_(* #,##0.000_);_(* \(#,##0.000\);_(* &quot;-&quot;??_);_(@_)"/>
    <numFmt numFmtId="170" formatCode="_-\$* #,##0_-;&quot;-$&quot;* #,##0_-;_-\$* \-_-;_-@_-"/>
    <numFmt numFmtId="171" formatCode="_(* #,##0_);_(* \(#,##0\);_(* \-??_);_(@_)"/>
    <numFmt numFmtId="172" formatCode="\\#,##0.00;[Red]&quot;\\\\\\-&quot;#,##0.00"/>
    <numFmt numFmtId="173" formatCode="\\#,##0;[Red]&quot;\\-&quot;#,##0"/>
    <numFmt numFmtId="174" formatCode=".\ ###\ ;############################################################################################"/>
    <numFmt numFmtId="175" formatCode="_-* #,##0_-;\-* #,##0_-;_-* \-_-;_-@_-"/>
    <numFmt numFmtId="176" formatCode="_-* #,##0.00_-;\-* #,##0.00_-;_-* \-??_-;_-@_-"/>
    <numFmt numFmtId="177" formatCode="\$#,##0_);[Red]&quot;($&quot;#,##0\)"/>
    <numFmt numFmtId="178" formatCode="\$#,##0\ ;&quot;($&quot;#,##0\)"/>
    <numFmt numFmtId="179" formatCode="\\#,##0.00;[Red]&quot;\-&quot;#,##0.00"/>
    <numFmt numFmtId="180" formatCode="\\#,##0;[Red]&quot;\-&quot;#,##0"/>
    <numFmt numFmtId="181" formatCode="_-\$* #,##0.00_-;&quot;-$&quot;* #,##0.00_-;_-\$* \-??_-;_-@_-"/>
    <numFmt numFmtId="182" formatCode="_-* #,##0\ _F_-;\-* #,##0\ _F_-;_-* &quot;- &quot;_F_-;_-@_-"/>
    <numFmt numFmtId="183" formatCode="_-* #,##0&quot; $&quot;_-;\-* #,##0&quot; $&quot;_-;_-* &quot;- $&quot;_-;_-@_-"/>
    <numFmt numFmtId="184" formatCode="_(\$* #,##0_);_(\$* \(#,##0\);_(\$* \-_);_(@_)"/>
    <numFmt numFmtId="185" formatCode="#,##0&quot; FB&quot;;\-#,##0&quot; FB&quot;"/>
    <numFmt numFmtId="186" formatCode="_-* #,##0.00\ _$_-;\-* #,##0.00\ _$_-;_-* \-??\ _$_-;_-@_-"/>
    <numFmt numFmtId="187" formatCode="_-* #,##0.00\ _V_N_D_-;\-* #,##0.00\ _V_N_D_-;_-* \-??\ _V_N_D_-;_-@_-"/>
    <numFmt numFmtId="188" formatCode="#,##0.00&quot; FB&quot;;\-#,##0.00&quot; FB&quot;"/>
    <numFmt numFmtId="189" formatCode="_-* #,##0.00_ñ_-;\-* #,##0.00_ñ_-;_-* \-??_ñ_-;_-@_-"/>
    <numFmt numFmtId="190" formatCode="_(* #,##0.00_);_(* \(#,##0.00\);_(* \-??_);_(@_)"/>
    <numFmt numFmtId="191" formatCode="_-* #,##0&quot; F&quot;_-;\-* #,##0&quot; F&quot;_-;_-* &quot;- F&quot;_-;_-@_-"/>
    <numFmt numFmtId="192" formatCode="_-* #,##0\ _$_-;\-* #,##0\ _$_-;_-* &quot;- &quot;_$_-;_-@_-"/>
    <numFmt numFmtId="193" formatCode="_-* #,##0\ _V_N_D_-;\-* #,##0\ _V_N_D_-;_-* &quot;- &quot;_V_N_D_-;_-@_-"/>
    <numFmt numFmtId="194" formatCode="#,##0&quot; FB&quot;;[Red]\-#,##0&quot; FB&quot;"/>
    <numFmt numFmtId="195" formatCode="_-* #,##0_ñ_-;\-* #,##0_ñ_-;_-* \-_ñ_-;_-@_-"/>
    <numFmt numFmtId="196" formatCode="_(* #,##0_);_(* \(#,##0\);_(* \-_);_(@_)"/>
    <numFmt numFmtId="197" formatCode="_ \\* #,##0_ ;_ \\* \-#,##0_ ;_ \\* \-_ ;_ @_ "/>
    <numFmt numFmtId="198" formatCode="_-\$* ###\$0\.00_-;&quot;-$&quot;* ###\$0\.00_-;_-\$* \-??_-;_-@_-"/>
    <numFmt numFmtId="199" formatCode="\$#\$##0_);&quot;($&quot;#\$##0\)"/>
    <numFmt numFmtId="200" formatCode="\£###,0\.00;[Red]&quot;-£&quot;###,0\.00"/>
    <numFmt numFmtId="201" formatCode="&quot;SFr. &quot;#,##0.00;[Red]&quot;SFr. -&quot;#,##0.00"/>
    <numFmt numFmtId="202" formatCode="_(* #,##0.0000000_);_(* \(#,##0.0000000\);_(* \-??_);_(@_)"/>
    <numFmt numFmtId="203" formatCode="_ &quot;SFr. &quot;* #,##0_ ;_ &quot;SFr. &quot;* \-#,##0_ ;_ &quot;SFr. &quot;* \-_ ;_ @_ "/>
    <numFmt numFmtId="204" formatCode="_ * #,##0_ ;_ * \-#,##0_ ;_ * \-_ ;_ @_ "/>
    <numFmt numFmtId="205" formatCode="#,##0\ ;&quot; -&quot;#,##0\ ;&quot; - &quot;;@\ "/>
    <numFmt numFmtId="206" formatCode="_ * #,##0.00_ ;_ * \-#,##0.00_ ;_ * \-??_ ;_ @_ "/>
    <numFmt numFmtId="207" formatCode="#,##0.00\ ;&quot; -&quot;#,##0.00\ ;&quot; -&quot;#\ ;@\ "/>
    <numFmt numFmtId="208" formatCode="_ * #,##0.00_)\$_ ;_ * \(#,##0.00&quot;)$&quot;_ ;_ * \-??_)\$_ ;_ @_ "/>
    <numFmt numFmtId="209" formatCode="#,##0.0_);\(#,##0.0\)"/>
    <numFmt numFmtId="210" formatCode="_(* #,##0.0000_);_(* \(#,##0.0000\);_(* \-??_);_(@_)"/>
    <numFmt numFmtId="211" formatCode="###\ ###\ ###\ ###\ .00"/>
    <numFmt numFmtId="212" formatCode="###\ ###\ ###.000"/>
    <numFmt numFmtId="213" formatCode="&quot;USD &quot;#,##0;[Red]&quot;-USD &quot;#,##0"/>
    <numFmt numFmtId="214" formatCode="dd\-mm\-yy"/>
    <numFmt numFmtId="215" formatCode="_-* #,##0.00&quot; F&quot;_-;\-* #,##0.00&quot; F&quot;_-;_-* \-??&quot; F&quot;_-;_-@_-"/>
    <numFmt numFmtId="216" formatCode="0.000_)"/>
    <numFmt numFmtId="217" formatCode="0.0"/>
    <numFmt numFmtId="218" formatCode="&quot;$&quot;#,##0;\-&quot;$&quot;#,##0"/>
    <numFmt numFmtId="219" formatCode="#,##0.00;[Red]#,##0.00"/>
    <numFmt numFmtId="220" formatCode="#,##0;\(#,##0\)"/>
    <numFmt numFmtId="221" formatCode="_ &quot;R &quot;* #,##0_ ;_ &quot;R &quot;* \-#,##0_ ;_ &quot;R &quot;* \-_ ;_ @_ "/>
    <numFmt numFmtId="222" formatCode="_-* ###\$0\.00_-;\-* ###\$0\.00_-;_-* \-??_-;_-@_-"/>
    <numFmt numFmtId="223" formatCode="#,##0.000"/>
    <numFmt numFmtId="224" formatCode="_-* #,##0_-;\-* #,##0_-;_-* \-??_-;_-@_-"/>
    <numFmt numFmtId="225" formatCode="_-* #,##0.0_-;\-* #,##0.0_-;_-* &quot;-&quot;_-;_-@_-"/>
    <numFmt numFmtId="226" formatCode="\t0.00%"/>
    <numFmt numFmtId="227" formatCode="0.000"/>
    <numFmt numFmtId="228" formatCode="&quot;$    &quot;#,##0_);&quot;($   &quot;#,##0\)"/>
    <numFmt numFmtId="229" formatCode="&quot;$     &quot;#,##0_);&quot;($     &quot;#,##0\)"/>
    <numFmt numFmtId="230" formatCode="\$###\$0\.00_);&quot;($&quot;###\$0\.00\)"/>
    <numFmt numFmtId="231" formatCode="_-\£* #,##0_-;&quot;-£&quot;* #,##0_-;_-\£* \-_-;_-@_-"/>
    <numFmt numFmtId="232" formatCode="\t#\ ??/??"/>
    <numFmt numFmtId="233" formatCode="_-* #,##0\ _₫_-;\-* #,##0\ _₫_-;_-* &quot;- &quot;_₫_-;_-@_-"/>
    <numFmt numFmtId="234" formatCode="_-* #,##0.00\ _₫_-;\-* #,##0.00\ _₫_-;_-* \-??\ _₫_-;_-@_-"/>
    <numFmt numFmtId="235" formatCode="_-[$€-2]* #,##0.00_-;\-[$€-2]* #,##0.00_-;_-[$€-2]* \-??_-"/>
    <numFmt numFmtId="236" formatCode="#,###;\-#,###;&quot;&quot;;_(@_)"/>
    <numFmt numFmtId="237" formatCode="&quot;\&quot;#,##0;[Red]\-&quot;\&quot;#,##0"/>
    <numFmt numFmtId="238" formatCode="&quot;\&quot;#,##0.00;\-&quot;\&quot;#,##0.00"/>
    <numFmt numFmtId="239" formatCode="_(* #,##0.000_);_(* \(#,##0.000\);_(* &quot;-&quot;???_);_(@_)"/>
    <numFmt numFmtId="240" formatCode="&quot;\&quot;#,##0;\-&quot;\&quot;#,##0"/>
    <numFmt numFmtId="241" formatCode="_(* #,##0.0_);_(* \(#,##0.0\);_(* &quot;-&quot;??_);_(@_)"/>
    <numFmt numFmtId="242" formatCode="_(* #,##0.00000000_);_(* \(#,##0.00000000\);_(* &quot;-&quot;??_);_(@_)"/>
    <numFmt numFmtId="243" formatCode="_(* #,##0.00000000_);_(* \(#,##0.00000000\);_(* &quot;-&quot;????????_);_(@_)"/>
    <numFmt numFmtId="244" formatCode="_-* #,##0\ _₫_-;\-* #,##0\ _₫_-;_-* &quot;-&quot;\ _₫_-;_-@_-"/>
  </numFmts>
  <fonts count="124">
    <font>
      <sz val="11"/>
      <color indexed="8"/>
      <name val="Calibri"/>
      <family val="2"/>
    </font>
    <font>
      <sz val="10"/>
      <name val="Arial"/>
      <family val="2"/>
    </font>
    <font>
      <b/>
      <sz val="11"/>
      <name val="Times New Roman"/>
      <family val="1"/>
    </font>
    <font>
      <sz val="11"/>
      <name val="Times New Roman"/>
      <family val="1"/>
    </font>
    <font>
      <sz val="11"/>
      <name val=".VnTime"/>
      <family val="2"/>
    </font>
    <font>
      <b/>
      <sz val="12"/>
      <name val="Times New Roman"/>
      <family val="1"/>
    </font>
    <font>
      <i/>
      <sz val="12"/>
      <name val="Times New Roman"/>
      <family val="1"/>
    </font>
    <font>
      <i/>
      <sz val="11"/>
      <name val="Times New Roman"/>
      <family val="1"/>
    </font>
    <font>
      <b/>
      <sz val="10"/>
      <name val="Times New Roman"/>
      <family val="1"/>
    </font>
    <font>
      <b/>
      <sz val="11"/>
      <name val=".VnTime"/>
      <family val="2"/>
    </font>
    <font>
      <sz val="10"/>
      <name val="Times New Roman"/>
      <family val="1"/>
    </font>
    <font>
      <sz val="10"/>
      <name val=".VnTime"/>
      <family val="2"/>
    </font>
    <font>
      <i/>
      <sz val="10"/>
      <name val="Times New Roman"/>
      <family val="1"/>
    </font>
    <font>
      <i/>
      <sz val="10"/>
      <name val=".VnTime"/>
      <family val="2"/>
    </font>
    <font>
      <b/>
      <sz val="10"/>
      <name val="Arial"/>
      <family val="2"/>
    </font>
    <font>
      <i/>
      <sz val="10"/>
      <name val="Arial"/>
      <family val="2"/>
    </font>
    <font>
      <b/>
      <sz val="13"/>
      <name val="Times New Roman"/>
      <family val="1"/>
    </font>
    <font>
      <sz val="10"/>
      <name val="MS Sans Serif"/>
      <family val="2"/>
    </font>
    <font>
      <sz val="12"/>
      <name val=".VnTime"/>
      <family val="2"/>
    </font>
    <font>
      <sz val="12"/>
      <name val="Times New Roman"/>
      <family val="1"/>
    </font>
    <font>
      <b/>
      <sz val="9"/>
      <name val="Tahoma"/>
      <family val="2"/>
    </font>
    <font>
      <sz val="9"/>
      <name val="Tahoma"/>
      <family val="2"/>
    </font>
    <font>
      <b/>
      <sz val="14"/>
      <name val="Times New Roman"/>
      <family val="1"/>
    </font>
    <font>
      <b/>
      <sz val="12"/>
      <color indexed="8"/>
      <name val="Times New Roman"/>
      <family val="1"/>
    </font>
    <font>
      <i/>
      <sz val="12"/>
      <color indexed="8"/>
      <name val="Times New Roman"/>
      <family val="1"/>
    </font>
    <font>
      <sz val="12"/>
      <color indexed="8"/>
      <name val="Times New Roman"/>
      <family val="1"/>
    </font>
    <font>
      <sz val="12"/>
      <color indexed="12"/>
      <name val="Times New Roman"/>
      <family val="1"/>
    </font>
    <font>
      <sz val="11"/>
      <color indexed="9"/>
      <name val="Calibri"/>
      <family val="2"/>
    </font>
    <font>
      <b/>
      <sz val="11"/>
      <color indexed="8"/>
      <name val="Calibri"/>
      <family val="2"/>
    </font>
    <font>
      <sz val="10"/>
      <color indexed="8"/>
      <name val="Times New Roman"/>
      <family val="2"/>
    </font>
    <font>
      <sz val="12"/>
      <name val="돋움체"/>
      <family val="3"/>
    </font>
    <font>
      <sz val="12"/>
      <name val="|??¢¥¢¬¨Ï"/>
      <family val="1"/>
    </font>
    <font>
      <b/>
      <sz val="12"/>
      <name val="Arial"/>
      <family val="2"/>
    </font>
    <font>
      <sz val="12"/>
      <name val="Arial"/>
      <family val="2"/>
    </font>
    <font>
      <sz val="10"/>
      <name val="???"/>
      <family val="3"/>
    </font>
    <font>
      <sz val="12"/>
      <name val="__"/>
      <family val="1"/>
    </font>
    <font>
      <sz val="10"/>
      <name val="___"/>
      <family val="3"/>
    </font>
    <font>
      <sz val="12"/>
      <name val="____"/>
      <family val="0"/>
    </font>
    <font>
      <sz val="10"/>
      <name val="Helv"/>
      <family val="2"/>
    </font>
    <font>
      <sz val="14"/>
      <name val="Terminal"/>
      <family val="3"/>
    </font>
    <font>
      <sz val="14"/>
      <name val="VnTime"/>
      <family val="0"/>
    </font>
    <font>
      <b/>
      <u val="single"/>
      <sz val="14"/>
      <color indexed="8"/>
      <name val=".VnBook-AntiquaH"/>
      <family val="2"/>
    </font>
    <font>
      <sz val="12"/>
      <color indexed="8"/>
      <name val="¹ÙÅÁÃ¼"/>
      <family val="1"/>
    </font>
    <font>
      <i/>
      <sz val="12"/>
      <color indexed="8"/>
      <name val=".VnBook-AntiquaH"/>
      <family val="2"/>
    </font>
    <font>
      <b/>
      <sz val="12"/>
      <color indexed="8"/>
      <name val=".VnBook-Antiqua"/>
      <family val="2"/>
    </font>
    <font>
      <i/>
      <sz val="12"/>
      <color indexed="8"/>
      <name val=".VnBook-Antiqua"/>
      <family val="2"/>
    </font>
    <font>
      <sz val="14"/>
      <name val=".VnTime"/>
      <family val="2"/>
    </font>
    <font>
      <sz val="8"/>
      <name val="Times New Roman"/>
      <family val="1"/>
    </font>
    <font>
      <b/>
      <i/>
      <sz val="14"/>
      <name val="VNTime"/>
      <family val="2"/>
    </font>
    <font>
      <sz val="12"/>
      <name val="¹UAAA¼"/>
      <family val="3"/>
    </font>
    <font>
      <sz val="13"/>
      <name val=".VnTime"/>
      <family val="2"/>
    </font>
    <font>
      <sz val="11"/>
      <name val="µ¸¿ò"/>
      <family val="0"/>
    </font>
    <font>
      <sz val="12"/>
      <name val="System"/>
      <family val="1"/>
    </font>
    <font>
      <sz val="10"/>
      <name val="±¼¸²A¼"/>
      <family val="3"/>
    </font>
    <font>
      <sz val="13"/>
      <name val="Times New Roman"/>
      <family val="1"/>
    </font>
    <font>
      <sz val="10"/>
      <name val="VNI-Aptima"/>
      <family val="2"/>
    </font>
    <font>
      <sz val="10"/>
      <name val="Arial Unicode MS"/>
      <family val="2"/>
    </font>
    <font>
      <sz val="9"/>
      <name val="Arial"/>
      <family val="2"/>
    </font>
    <font>
      <sz val="10"/>
      <name val="MS Serif"/>
      <family val="1"/>
    </font>
    <font>
      <sz val="10"/>
      <color indexed="8"/>
      <name val="Arial"/>
      <family val="2"/>
    </font>
    <font>
      <b/>
      <sz val="11"/>
      <name val="VNTimeH"/>
      <family val="2"/>
    </font>
    <font>
      <sz val="11"/>
      <name val="VNtimes new roman"/>
      <family val="2"/>
    </font>
    <font>
      <sz val="10"/>
      <name val="VNI-Times"/>
      <family val="2"/>
    </font>
    <font>
      <sz val="10"/>
      <color indexed="16"/>
      <name val="MS Serif"/>
      <family val="1"/>
    </font>
    <font>
      <i/>
      <sz val="11"/>
      <color indexed="23"/>
      <name val="Calibri"/>
      <family val="2"/>
    </font>
    <font>
      <b/>
      <sz val="18"/>
      <name val="Arial"/>
      <family val="2"/>
    </font>
    <font>
      <sz val="7"/>
      <name val="Small Fonts"/>
      <family val="2"/>
    </font>
    <font>
      <sz val="14"/>
      <color indexed="8"/>
      <name val="Calibri"/>
      <family val="2"/>
    </font>
    <font>
      <sz val="14"/>
      <color indexed="8"/>
      <name val="Times New Roman"/>
      <family val="2"/>
    </font>
    <font>
      <sz val="12"/>
      <name val=".VnArial Narrow"/>
      <family val="2"/>
    </font>
    <font>
      <sz val="14"/>
      <name val="Times New Roman"/>
      <family val="1"/>
    </font>
    <font>
      <sz val="14"/>
      <name val="뼻뮝"/>
      <family val="3"/>
    </font>
    <font>
      <sz val="12"/>
      <name val="바탕체"/>
      <family val="3"/>
    </font>
    <font>
      <sz val="12"/>
      <name val="뼻뮝"/>
      <family val="3"/>
    </font>
    <font>
      <i/>
      <sz val="11"/>
      <color indexed="8"/>
      <name val="Times New Roman"/>
      <family val="1"/>
    </font>
    <font>
      <b/>
      <sz val="11"/>
      <color indexed="8"/>
      <name val="Times New Roman"/>
      <family val="1"/>
    </font>
    <font>
      <sz val="12"/>
      <color indexed="10"/>
      <name val="Times New Roman"/>
      <family val="1"/>
    </font>
    <font>
      <b/>
      <sz val="12"/>
      <name val=".VnTime"/>
      <family val="2"/>
    </font>
    <font>
      <i/>
      <sz val="12"/>
      <name val=".VnTime"/>
      <family val="2"/>
    </font>
    <font>
      <sz val="12"/>
      <color indexed="8"/>
      <name val="Calibri"/>
      <family val="2"/>
    </font>
    <font>
      <sz val="11"/>
      <color indexed="8"/>
      <name val="Times New Roman"/>
      <family val="1"/>
    </font>
    <font>
      <sz val="11"/>
      <name val="Calibri"/>
      <family val="2"/>
    </font>
    <font>
      <vertAlign val="superscript"/>
      <sz val="12"/>
      <name val="Times New Roman"/>
      <family val="1"/>
    </font>
    <font>
      <b/>
      <i/>
      <sz val="12"/>
      <name val="Times New Roman"/>
      <family val="1"/>
    </font>
    <font>
      <u val="single"/>
      <sz val="11"/>
      <name val="Calibri"/>
      <family val="2"/>
    </font>
    <font>
      <i/>
      <sz val="13"/>
      <name val="Times New Roman"/>
      <family val="1"/>
    </font>
    <font>
      <i/>
      <sz val="9"/>
      <name val="Times New Roman"/>
      <family val="1"/>
    </font>
    <font>
      <b/>
      <sz val="9"/>
      <name val="Times New Roman"/>
      <family val="1"/>
    </font>
    <font>
      <i/>
      <sz val="13"/>
      <name val="3C_Times_T"/>
      <family val="0"/>
    </font>
    <font>
      <i/>
      <sz val="10"/>
      <name val="MS Sans Serif"/>
      <family val="2"/>
    </font>
    <font>
      <sz val="12"/>
      <name val="VNI-Times"/>
      <family val="2"/>
    </font>
    <font>
      <sz val="11"/>
      <color indexed="20"/>
      <name val="Calibri"/>
      <family val="2"/>
    </font>
    <font>
      <b/>
      <sz val="11"/>
      <color indexed="52"/>
      <name val="Calibri"/>
      <family val="2"/>
    </font>
    <font>
      <b/>
      <sz val="11"/>
      <color indexed="9"/>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i/>
      <sz val="10"/>
      <name val="VNI-Aptima"/>
      <family val="0"/>
    </font>
    <font>
      <sz val="18"/>
      <color indexed="56"/>
      <name val="Cambria"/>
      <family val="2"/>
    </font>
    <font>
      <b/>
      <sz val="14"/>
      <color indexed="8"/>
      <name val="Times New Roman"/>
      <family val="2"/>
    </font>
    <font>
      <sz val="14"/>
      <color indexed="10"/>
      <name val="Times New Roman"/>
      <family val="2"/>
    </font>
    <font>
      <b/>
      <sz val="8"/>
      <name val="Calibri"/>
      <family val="2"/>
    </font>
  </fonts>
  <fills count="3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top style="double">
        <color indexed="8"/>
      </top>
      <bottom/>
    </border>
    <border>
      <left style="thin">
        <color indexed="8"/>
      </left>
      <right style="thin">
        <color indexed="8"/>
      </right>
      <top style="hair">
        <color indexed="8"/>
      </top>
      <bottom style="hair">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double">
        <color indexed="8"/>
      </right>
      <top/>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top style="thin"/>
      <bottom style="double"/>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bottom style="hair">
        <color indexed="8"/>
      </bottom>
    </border>
    <border>
      <left style="thin">
        <color indexed="8"/>
      </left>
      <right style="thin">
        <color indexed="8"/>
      </right>
      <top style="hair">
        <color indexed="8"/>
      </top>
      <bottom style="thin">
        <color indexed="8"/>
      </bottom>
    </border>
    <border>
      <left style="thin"/>
      <right style="thin"/>
      <top>
        <color indexed="63"/>
      </top>
      <bottom style="hair"/>
    </border>
    <border>
      <left>
        <color indexed="63"/>
      </left>
      <right style="thin"/>
      <top style="thin"/>
      <bottom style="thin"/>
    </border>
    <border>
      <left style="thin"/>
      <right style="thin"/>
      <top>
        <color indexed="63"/>
      </top>
      <bottom style="thin"/>
    </border>
    <border>
      <left style="thin"/>
      <right style="thin"/>
      <top style="thin">
        <color indexed="8"/>
      </top>
      <bottom style="hair"/>
    </border>
    <border>
      <left>
        <color indexed="63"/>
      </left>
      <right>
        <color indexed="63"/>
      </right>
      <top style="thin"/>
      <bottom>
        <color indexed="63"/>
      </bottom>
    </border>
    <border>
      <left style="thin"/>
      <right style="thin"/>
      <top style="hair"/>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bottom style="thin"/>
    </border>
  </borders>
  <cellStyleXfs count="3312">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59" fillId="0" borderId="0" applyNumberFormat="0" applyFill="0" applyBorder="0" applyAlignment="0" applyProtection="0"/>
    <xf numFmtId="0" fontId="9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70" fontId="1" fillId="0" borderId="0" applyFill="0" applyBorder="0" applyAlignment="0" applyProtection="0"/>
    <xf numFmtId="0" fontId="18" fillId="0" borderId="0" applyNumberFormat="0" applyFill="0" applyBorder="0" applyAlignment="0" applyProtection="0"/>
    <xf numFmtId="3" fontId="30" fillId="0" borderId="1">
      <alignment/>
      <protection/>
    </xf>
    <xf numFmtId="171" fontId="1" fillId="0" borderId="0" applyBorder="0">
      <alignment/>
      <protection/>
    </xf>
    <xf numFmtId="0" fontId="11" fillId="0" borderId="0">
      <alignment/>
      <protection/>
    </xf>
    <xf numFmtId="0" fontId="11" fillId="0" borderId="0">
      <alignment/>
      <protection/>
    </xf>
    <xf numFmtId="0" fontId="17" fillId="0" borderId="0" applyNumberFormat="0" applyFill="0" applyAlignment="0">
      <protection/>
    </xf>
    <xf numFmtId="172" fontId="1" fillId="0" borderId="0" applyFill="0" applyBorder="0" applyAlignment="0" applyProtection="0"/>
    <xf numFmtId="0" fontId="1" fillId="0" borderId="0" applyFill="0" applyBorder="0" applyAlignment="0" applyProtection="0"/>
    <xf numFmtId="173" fontId="1"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Fill="0" applyBorder="0" applyAlignment="0" applyProtection="0"/>
    <xf numFmtId="174"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7"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31" fillId="0" borderId="0">
      <alignment/>
      <protection/>
    </xf>
    <xf numFmtId="40" fontId="1" fillId="0" borderId="0" applyFill="0" applyBorder="0" applyAlignment="0" applyProtection="0"/>
    <xf numFmtId="40" fontId="17" fillId="0" borderId="0" applyFill="0" applyBorder="0" applyAlignment="0" applyProtection="0"/>
    <xf numFmtId="38" fontId="1" fillId="0" borderId="0" applyFill="0" applyBorder="0" applyAlignment="0" applyProtection="0"/>
    <xf numFmtId="3" fontId="17" fillId="0" borderId="0" applyFill="0" applyBorder="0" applyAlignment="0" applyProtection="0"/>
    <xf numFmtId="178" fontId="17" fillId="0" borderId="0" applyFill="0" applyBorder="0" applyAlignment="0" applyProtection="0"/>
    <xf numFmtId="0" fontId="17" fillId="0" borderId="0" applyFill="0" applyBorder="0" applyAlignment="0" applyProtection="0"/>
    <xf numFmtId="0" fontId="1" fillId="0" borderId="0" applyNumberFormat="0" applyFill="0" applyBorder="0" applyAlignment="0" applyProtection="0"/>
    <xf numFmtId="2" fontId="17" fillId="0" borderId="0" applyFill="0" applyBorder="0" applyAlignment="0" applyProtection="0"/>
    <xf numFmtId="0" fontId="32" fillId="0" borderId="2">
      <alignment horizontal="left" vertical="center"/>
      <protection/>
    </xf>
    <xf numFmtId="0" fontId="32" fillId="0" borderId="0" applyNumberFormat="0" applyFill="0" applyBorder="0" applyAlignment="0" applyProtection="0"/>
    <xf numFmtId="0" fontId="33" fillId="0" borderId="0">
      <alignment/>
      <protection/>
    </xf>
    <xf numFmtId="0" fontId="33" fillId="0" borderId="0">
      <alignment/>
      <protection/>
    </xf>
    <xf numFmtId="0" fontId="4" fillId="0" borderId="0">
      <alignment/>
      <protection/>
    </xf>
    <xf numFmtId="0" fontId="17" fillId="0" borderId="3" applyNumberFormat="0" applyFill="0" applyAlignment="0" applyProtection="0"/>
    <xf numFmtId="0" fontId="11" fillId="0" borderId="0">
      <alignment/>
      <protection/>
    </xf>
    <xf numFmtId="0" fontId="1" fillId="0" borderId="0">
      <alignment/>
      <protection/>
    </xf>
    <xf numFmtId="0" fontId="34" fillId="0" borderId="0">
      <alignment/>
      <protection/>
    </xf>
    <xf numFmtId="0" fontId="35" fillId="0" borderId="0">
      <alignment/>
      <protection/>
    </xf>
    <xf numFmtId="0" fontId="1" fillId="0" borderId="0" applyFill="0" applyBorder="0" applyAlignment="0" applyProtection="0"/>
    <xf numFmtId="173" fontId="1" fillId="0" borderId="0" applyFill="0" applyBorder="0" applyAlignment="0" applyProtection="0"/>
    <xf numFmtId="179" fontId="1" fillId="0" borderId="0" applyFill="0" applyBorder="0" applyAlignment="0" applyProtection="0"/>
    <xf numFmtId="170" fontId="1" fillId="0" borderId="0" applyFill="0" applyBorder="0" applyAlignment="0" applyProtection="0"/>
    <xf numFmtId="0" fontId="36" fillId="0" borderId="0">
      <alignment/>
      <protection/>
    </xf>
    <xf numFmtId="175" fontId="1" fillId="0" borderId="0" applyFill="0" applyBorder="0" applyAlignment="0" applyProtection="0"/>
    <xf numFmtId="40" fontId="1" fillId="0" borderId="0" applyFill="0" applyBorder="0" applyAlignment="0" applyProtection="0"/>
    <xf numFmtId="38" fontId="1" fillId="0" borderId="0" applyFill="0" applyBorder="0" applyAlignment="0" applyProtection="0"/>
    <xf numFmtId="9" fontId="1" fillId="0" borderId="0" applyFill="0" applyBorder="0" applyAlignment="0" applyProtection="0"/>
    <xf numFmtId="176" fontId="1" fillId="0" borderId="0" applyFill="0" applyBorder="0" applyAlignment="0" applyProtection="0"/>
    <xf numFmtId="172" fontId="1" fillId="0" borderId="0" applyFill="0" applyBorder="0" applyAlignment="0" applyProtection="0"/>
    <xf numFmtId="180" fontId="1" fillId="0" borderId="0" applyFill="0" applyBorder="0" applyAlignment="0" applyProtection="0"/>
    <xf numFmtId="180" fontId="1" fillId="0" borderId="0" applyFill="0" applyBorder="0" applyAlignment="0" applyProtection="0"/>
    <xf numFmtId="0" fontId="37" fillId="0" borderId="0">
      <alignment/>
      <protection/>
    </xf>
    <xf numFmtId="181" fontId="1" fillId="0" borderId="0" applyFill="0" applyBorder="0" applyAlignment="0" applyProtection="0"/>
    <xf numFmtId="0" fontId="1" fillId="0" borderId="0">
      <alignment/>
      <protection/>
    </xf>
    <xf numFmtId="0" fontId="1" fillId="0" borderId="0" applyFill="0" applyBorder="0" applyAlignment="0" applyProtection="0"/>
    <xf numFmtId="182" fontId="1" fillId="0" borderId="0" applyFill="0" applyBorder="0" applyAlignment="0" applyProtection="0"/>
    <xf numFmtId="0" fontId="17" fillId="0" borderId="0">
      <alignment/>
      <protection/>
    </xf>
    <xf numFmtId="183" fontId="1" fillId="0" borderId="0" applyFill="0" applyBorder="0" applyAlignment="0" applyProtection="0"/>
    <xf numFmtId="184" fontId="1" fillId="0" borderId="0" applyFill="0" applyBorder="0" applyAlignment="0" applyProtection="0"/>
    <xf numFmtId="0" fontId="1" fillId="0" borderId="0" applyFill="0" applyBorder="0" applyAlignment="0" applyProtection="0"/>
    <xf numFmtId="184" fontId="1" fillId="0" borderId="0" applyFill="0" applyBorder="0" applyAlignment="0" applyProtection="0"/>
    <xf numFmtId="0" fontId="1" fillId="0" borderId="0" applyFill="0" applyBorder="0" applyAlignment="0" applyProtection="0"/>
    <xf numFmtId="0" fontId="11" fillId="0" borderId="0" applyNumberFormat="0" applyFill="0" applyBorder="0" applyAlignment="0" applyProtection="0"/>
    <xf numFmtId="0" fontId="1" fillId="0" borderId="0">
      <alignment/>
      <protection/>
    </xf>
    <xf numFmtId="0" fontId="11" fillId="0" borderId="0" applyNumberFormat="0" applyFill="0" applyBorder="0" applyAlignment="0" applyProtection="0"/>
    <xf numFmtId="185" fontId="1" fillId="0" borderId="0" applyFill="0" applyBorder="0" applyAlignment="0" applyProtection="0"/>
    <xf numFmtId="0" fontId="11" fillId="0" borderId="0" applyNumberFormat="0" applyFill="0" applyBorder="0" applyAlignment="0" applyProtection="0"/>
    <xf numFmtId="0" fontId="1" fillId="0" borderId="0">
      <alignment/>
      <protection/>
    </xf>
    <xf numFmtId="0" fontId="11" fillId="0" borderId="0" applyNumberFormat="0" applyFill="0" applyBorder="0" applyAlignment="0" applyProtection="0"/>
    <xf numFmtId="0" fontId="1" fillId="0" borderId="0" applyFill="0" applyBorder="0" applyAlignment="0" applyProtection="0"/>
    <xf numFmtId="0" fontId="1" fillId="0" borderId="0" applyFill="0" applyBorder="0" applyAlignment="0" applyProtection="0"/>
    <xf numFmtId="183" fontId="1" fillId="0" borderId="0" applyFill="0" applyBorder="0" applyAlignment="0" applyProtection="0"/>
    <xf numFmtId="0" fontId="1" fillId="0" borderId="0" applyFill="0" applyBorder="0" applyAlignment="0" applyProtection="0"/>
    <xf numFmtId="184" fontId="1" fillId="0" borderId="0" applyFill="0" applyBorder="0" applyAlignment="0" applyProtection="0"/>
    <xf numFmtId="0" fontId="1" fillId="0" borderId="0" applyFill="0" applyBorder="0" applyAlignment="0" applyProtection="0"/>
    <xf numFmtId="0" fontId="1" fillId="0" borderId="0" applyFill="0" applyBorder="0" applyAlignment="0" applyProtection="0"/>
    <xf numFmtId="0" fontId="38" fillId="0" borderId="0">
      <alignment/>
      <protection/>
    </xf>
    <xf numFmtId="0" fontId="17" fillId="0" borderId="0">
      <alignment/>
      <protection/>
    </xf>
    <xf numFmtId="0" fontId="11" fillId="0" borderId="0" applyNumberFormat="0" applyFill="0" applyBorder="0" applyAlignment="0" applyProtection="0"/>
    <xf numFmtId="183" fontId="1" fillId="0" borderId="0" applyFill="0" applyBorder="0" applyAlignment="0" applyProtection="0"/>
    <xf numFmtId="170" fontId="1" fillId="0" borderId="0" applyFill="0" applyBorder="0" applyAlignment="0" applyProtection="0"/>
    <xf numFmtId="176" fontId="1" fillId="0" borderId="0" applyFill="0" applyBorder="0" applyAlignment="0" applyProtection="0"/>
    <xf numFmtId="186" fontId="1" fillId="0" borderId="0" applyFill="0" applyBorder="0" applyAlignment="0" applyProtection="0"/>
    <xf numFmtId="187" fontId="1" fillId="0" borderId="0" applyFill="0" applyBorder="0" applyAlignment="0" applyProtection="0"/>
    <xf numFmtId="188" fontId="1" fillId="0" borderId="0" applyFill="0" applyBorder="0" applyAlignment="0" applyProtection="0"/>
    <xf numFmtId="187" fontId="1" fillId="0" borderId="0" applyFill="0" applyBorder="0" applyAlignment="0" applyProtection="0"/>
    <xf numFmtId="189" fontId="1" fillId="0" borderId="0" applyFill="0" applyBorder="0" applyAlignment="0" applyProtection="0"/>
    <xf numFmtId="176" fontId="1" fillId="0" borderId="0" applyFill="0" applyBorder="0" applyAlignment="0" applyProtection="0"/>
    <xf numFmtId="187" fontId="1" fillId="0" borderId="0" applyFill="0" applyBorder="0" applyAlignment="0" applyProtection="0"/>
    <xf numFmtId="190" fontId="1" fillId="0" borderId="0" applyFill="0" applyBorder="0" applyAlignment="0" applyProtection="0"/>
    <xf numFmtId="175" fontId="1" fillId="0" borderId="0" applyFill="0" applyBorder="0" applyAlignment="0" applyProtection="0"/>
    <xf numFmtId="183" fontId="1" fillId="0" borderId="0" applyFill="0" applyBorder="0" applyAlignment="0" applyProtection="0"/>
    <xf numFmtId="185"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70" fontId="1" fillId="0" borderId="0" applyFill="0" applyBorder="0" applyAlignment="0" applyProtection="0"/>
    <xf numFmtId="191" fontId="1" fillId="0" borderId="0" applyFill="0" applyBorder="0" applyAlignment="0" applyProtection="0"/>
    <xf numFmtId="186" fontId="1" fillId="0" borderId="0" applyFill="0" applyBorder="0" applyAlignment="0" applyProtection="0"/>
    <xf numFmtId="187" fontId="1" fillId="0" borderId="0" applyFill="0" applyBorder="0" applyAlignment="0" applyProtection="0"/>
    <xf numFmtId="188" fontId="1" fillId="0" borderId="0" applyFill="0" applyBorder="0" applyAlignment="0" applyProtection="0"/>
    <xf numFmtId="187" fontId="1" fillId="0" borderId="0" applyFill="0" applyBorder="0" applyAlignment="0" applyProtection="0"/>
    <xf numFmtId="189" fontId="1" fillId="0" borderId="0" applyFill="0" applyBorder="0" applyAlignment="0" applyProtection="0"/>
    <xf numFmtId="176" fontId="1" fillId="0" borderId="0" applyFill="0" applyBorder="0" applyAlignment="0" applyProtection="0"/>
    <xf numFmtId="187" fontId="1" fillId="0" borderId="0" applyFill="0" applyBorder="0" applyAlignment="0" applyProtection="0"/>
    <xf numFmtId="176" fontId="1" fillId="0" borderId="0" applyFill="0" applyBorder="0" applyAlignment="0" applyProtection="0"/>
    <xf numFmtId="190"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94" fontId="1" fillId="0" borderId="0" applyFill="0" applyBorder="0" applyAlignment="0" applyProtection="0"/>
    <xf numFmtId="193" fontId="1" fillId="0" borderId="0" applyFill="0" applyBorder="0" applyAlignment="0" applyProtection="0"/>
    <xf numFmtId="195" fontId="1" fillId="0" borderId="0" applyFill="0" applyBorder="0" applyAlignment="0" applyProtection="0"/>
    <xf numFmtId="175"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85" fontId="1" fillId="0" borderId="0" applyFill="0" applyBorder="0" applyAlignment="0" applyProtection="0"/>
    <xf numFmtId="184" fontId="1" fillId="0" borderId="0" applyFill="0" applyBorder="0" applyAlignment="0" applyProtection="0"/>
    <xf numFmtId="184" fontId="1" fillId="0" borderId="0" applyFill="0" applyBorder="0" applyAlignment="0" applyProtection="0"/>
    <xf numFmtId="170" fontId="1" fillId="0" borderId="0" applyFill="0" applyBorder="0" applyAlignment="0" applyProtection="0"/>
    <xf numFmtId="191"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94" fontId="1" fillId="0" borderId="0" applyFill="0" applyBorder="0" applyAlignment="0" applyProtection="0"/>
    <xf numFmtId="193" fontId="1" fillId="0" borderId="0" applyFill="0" applyBorder="0" applyAlignment="0" applyProtection="0"/>
    <xf numFmtId="195" fontId="1" fillId="0" borderId="0" applyFill="0" applyBorder="0" applyAlignment="0" applyProtection="0"/>
    <xf numFmtId="175"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86" fontId="1" fillId="0" borderId="0" applyFill="0" applyBorder="0" applyAlignment="0" applyProtection="0"/>
    <xf numFmtId="187" fontId="1" fillId="0" borderId="0" applyFill="0" applyBorder="0" applyAlignment="0" applyProtection="0"/>
    <xf numFmtId="188" fontId="1" fillId="0" borderId="0" applyFill="0" applyBorder="0" applyAlignment="0" applyProtection="0"/>
    <xf numFmtId="187" fontId="1" fillId="0" borderId="0" applyFill="0" applyBorder="0" applyAlignment="0" applyProtection="0"/>
    <xf numFmtId="189" fontId="1" fillId="0" borderId="0" applyFill="0" applyBorder="0" applyAlignment="0" applyProtection="0"/>
    <xf numFmtId="176" fontId="1" fillId="0" borderId="0" applyFill="0" applyBorder="0" applyAlignment="0" applyProtection="0"/>
    <xf numFmtId="187" fontId="1" fillId="0" borderId="0" applyFill="0" applyBorder="0" applyAlignment="0" applyProtection="0"/>
    <xf numFmtId="190" fontId="1" fillId="0" borderId="0" applyFill="0" applyBorder="0" applyAlignment="0" applyProtection="0"/>
    <xf numFmtId="175"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84" fontId="1" fillId="0" borderId="0" applyFill="0" applyBorder="0" applyAlignment="0" applyProtection="0"/>
    <xf numFmtId="191" fontId="1" fillId="0" borderId="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3" fontId="1" fillId="0" borderId="0" applyFill="0" applyBorder="0" applyAlignment="0" applyProtection="0"/>
    <xf numFmtId="175" fontId="1" fillId="0" borderId="0" applyFill="0" applyBorder="0" applyAlignment="0" applyProtection="0"/>
    <xf numFmtId="192" fontId="1" fillId="0" borderId="0" applyFill="0" applyBorder="0" applyAlignment="0" applyProtection="0"/>
    <xf numFmtId="193" fontId="1" fillId="0" borderId="0" applyFill="0" applyBorder="0" applyAlignment="0" applyProtection="0"/>
    <xf numFmtId="194" fontId="1" fillId="0" borderId="0" applyFill="0" applyBorder="0" applyAlignment="0" applyProtection="0"/>
    <xf numFmtId="193" fontId="1" fillId="0" borderId="0" applyFill="0" applyBorder="0" applyAlignment="0" applyProtection="0"/>
    <xf numFmtId="195" fontId="1" fillId="0" borderId="0" applyFill="0" applyBorder="0" applyAlignment="0" applyProtection="0"/>
    <xf numFmtId="175" fontId="1" fillId="0" borderId="0" applyFill="0" applyBorder="0" applyAlignment="0" applyProtection="0"/>
    <xf numFmtId="193" fontId="1" fillId="0" borderId="0" applyFill="0" applyBorder="0" applyAlignment="0" applyProtection="0"/>
    <xf numFmtId="196" fontId="1" fillId="0" borderId="0" applyFill="0" applyBorder="0" applyAlignment="0" applyProtection="0"/>
    <xf numFmtId="186" fontId="1" fillId="0" borderId="0" applyFill="0" applyBorder="0" applyAlignment="0" applyProtection="0"/>
    <xf numFmtId="187" fontId="1" fillId="0" borderId="0" applyFill="0" applyBorder="0" applyAlignment="0" applyProtection="0"/>
    <xf numFmtId="188" fontId="1" fillId="0" borderId="0" applyFill="0" applyBorder="0" applyAlignment="0" applyProtection="0"/>
    <xf numFmtId="187" fontId="1" fillId="0" borderId="0" applyFill="0" applyBorder="0" applyAlignment="0" applyProtection="0"/>
    <xf numFmtId="189" fontId="1" fillId="0" borderId="0" applyFill="0" applyBorder="0" applyAlignment="0" applyProtection="0"/>
    <xf numFmtId="176" fontId="1" fillId="0" borderId="0" applyFill="0" applyBorder="0" applyAlignment="0" applyProtection="0"/>
    <xf numFmtId="187" fontId="1" fillId="0" borderId="0" applyFill="0" applyBorder="0" applyAlignment="0" applyProtection="0"/>
    <xf numFmtId="190" fontId="1" fillId="0" borderId="0" applyFill="0" applyBorder="0" applyAlignment="0" applyProtection="0"/>
    <xf numFmtId="170" fontId="1" fillId="0" borderId="0" applyFill="0" applyBorder="0" applyAlignment="0" applyProtection="0"/>
    <xf numFmtId="176" fontId="1" fillId="0" borderId="0" applyFill="0" applyBorder="0" applyAlignment="0" applyProtection="0"/>
    <xf numFmtId="0" fontId="1"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97" fontId="1" fillId="0" borderId="0" applyFill="0" applyBorder="0" applyAlignment="0" applyProtection="0"/>
    <xf numFmtId="0" fontId="1" fillId="0" borderId="0">
      <alignment/>
      <protection/>
    </xf>
    <xf numFmtId="198" fontId="1" fillId="0" borderId="0" applyFill="0" applyBorder="0" applyAlignment="0" applyProtection="0"/>
    <xf numFmtId="170" fontId="17" fillId="0" borderId="0" applyFill="0" applyBorder="0" applyAlignment="0" applyProtection="0"/>
    <xf numFmtId="177" fontId="1" fillId="0" borderId="0" applyFill="0" applyBorder="0" applyAlignment="0" applyProtection="0"/>
    <xf numFmtId="177" fontId="17" fillId="0" borderId="0" applyFill="0" applyBorder="0" applyAlignment="0" applyProtection="0"/>
    <xf numFmtId="181" fontId="1" fillId="0" borderId="0" applyFill="0" applyBorder="0" applyAlignment="0" applyProtection="0"/>
    <xf numFmtId="170" fontId="1" fillId="0" borderId="0" applyFill="0" applyBorder="0" applyAlignment="0" applyProtection="0"/>
    <xf numFmtId="170" fontId="17" fillId="0" borderId="0" applyFill="0" applyBorder="0" applyAlignment="0" applyProtection="0"/>
    <xf numFmtId="177" fontId="1" fillId="0" borderId="0" applyFill="0" applyBorder="0" applyAlignment="0" applyProtection="0"/>
    <xf numFmtId="177" fontId="17" fillId="0" borderId="0" applyFill="0" applyBorder="0" applyAlignment="0" applyProtection="0"/>
    <xf numFmtId="181" fontId="1" fillId="0" borderId="0" applyFill="0" applyBorder="0" applyAlignment="0" applyProtection="0"/>
    <xf numFmtId="179" fontId="1" fillId="0" borderId="0" applyFill="0" applyBorder="0" applyAlignment="0" applyProtection="0"/>
    <xf numFmtId="180" fontId="1" fillId="0" borderId="0" applyFill="0" applyBorder="0" applyAlignment="0" applyProtection="0"/>
    <xf numFmtId="199" fontId="1" fillId="0" borderId="0" applyFill="0" applyBorder="0" applyAlignment="0" applyProtection="0"/>
    <xf numFmtId="200" fontId="17" fillId="0" borderId="0" applyFill="0" applyBorder="0" applyAlignment="0" applyProtection="0"/>
    <xf numFmtId="180" fontId="1" fillId="0" borderId="0" applyFill="0" applyBorder="0" applyAlignment="0" applyProtection="0"/>
    <xf numFmtId="0" fontId="39" fillId="0" borderId="0">
      <alignment/>
      <protection/>
    </xf>
    <xf numFmtId="0" fontId="39" fillId="0" borderId="0">
      <alignment/>
      <protection/>
    </xf>
    <xf numFmtId="0" fontId="1" fillId="0" borderId="0">
      <alignment/>
      <protection/>
    </xf>
    <xf numFmtId="1" fontId="40" fillId="0" borderId="0" applyBorder="0" applyAlignment="0">
      <protection/>
    </xf>
    <xf numFmtId="3" fontId="30" fillId="0" borderId="1">
      <alignment/>
      <protection/>
    </xf>
    <xf numFmtId="3" fontId="30" fillId="0" borderId="1">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197" fontId="1" fillId="0" borderId="0" applyFill="0" applyBorder="0" applyAlignment="0" applyProtection="0"/>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197" fontId="1" fillId="0" borderId="0" applyFill="0" applyBorder="0" applyAlignment="0" applyProtection="0"/>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197" fontId="1" fillId="0" borderId="0" applyFill="0" applyBorder="0" applyAlignment="0" applyProtection="0"/>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197" fontId="1" fillId="0" borderId="0" applyFill="0" applyBorder="0" applyAlignment="0" applyProtection="0"/>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197" fontId="1" fillId="0" borderId="0" applyFill="0" applyBorder="0" applyAlignment="0" applyProtection="0"/>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197" fontId="1" fillId="0" borderId="0" applyFill="0" applyBorder="0" applyAlignment="0" applyProtection="0"/>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197" fontId="1" fillId="0" borderId="0" applyFill="0" applyBorder="0" applyAlignment="0" applyProtection="0"/>
    <xf numFmtId="0" fontId="41" fillId="2" borderId="0">
      <alignment/>
      <protection/>
    </xf>
    <xf numFmtId="0" fontId="41" fillId="2" borderId="0">
      <alignment/>
      <protection/>
    </xf>
    <xf numFmtId="0" fontId="41"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1"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1" fillId="0" borderId="0" applyNumberFormat="0" applyBorder="0">
      <alignment horizontal="left" indent="2"/>
      <protection/>
    </xf>
    <xf numFmtId="0" fontId="1" fillId="0" borderId="0" applyNumberFormat="0" applyBorder="0">
      <alignment horizontal="left" indent="2"/>
      <protection/>
    </xf>
    <xf numFmtId="0" fontId="41" fillId="2" borderId="0">
      <alignment/>
      <protection/>
    </xf>
    <xf numFmtId="0" fontId="1" fillId="0" borderId="0" applyNumberFormat="0" applyBorder="0">
      <alignment horizontal="left" indent="2"/>
      <protection/>
    </xf>
    <xf numFmtId="0" fontId="1" fillId="0" borderId="0" applyNumberFormat="0" applyBorder="0">
      <alignment horizontal="left" indent="2"/>
      <protection/>
    </xf>
    <xf numFmtId="0" fontId="1" fillId="0" borderId="0" applyNumberFormat="0" applyBorder="0">
      <alignment horizontal="left" indent="2"/>
      <protection/>
    </xf>
    <xf numFmtId="0" fontId="41" fillId="2" borderId="0">
      <alignment/>
      <protection/>
    </xf>
    <xf numFmtId="0" fontId="1" fillId="0" borderId="0" applyNumberFormat="0" applyBorder="0">
      <alignment horizontal="left" indent="2"/>
      <protection/>
    </xf>
    <xf numFmtId="0" fontId="41" fillId="2" borderId="0">
      <alignment/>
      <protection/>
    </xf>
    <xf numFmtId="0" fontId="41" fillId="2" borderId="0">
      <alignment/>
      <protection/>
    </xf>
    <xf numFmtId="0" fontId="41" fillId="2" borderId="0">
      <alignment/>
      <protection/>
    </xf>
    <xf numFmtId="0" fontId="1" fillId="0" borderId="0" applyNumberFormat="0" applyBorder="0">
      <alignment horizontal="left" indent="2"/>
      <protection/>
    </xf>
    <xf numFmtId="0" fontId="1" fillId="0" borderId="0" applyNumberFormat="0" applyBorder="0">
      <alignment horizontal="left" indent="2"/>
      <protection/>
    </xf>
    <xf numFmtId="9" fontId="17" fillId="0" borderId="0" applyFill="0" applyBorder="0" applyAlignment="0" applyProtection="0"/>
    <xf numFmtId="9" fontId="17" fillId="0" borderId="0" applyFill="0" applyBorder="0" applyAlignment="0" applyProtection="0"/>
    <xf numFmtId="0" fontId="17" fillId="0" borderId="4" applyFill="0" applyAlignment="0">
      <protection/>
    </xf>
    <xf numFmtId="9" fontId="42" fillId="0" borderId="0" applyBorder="0" applyAlignment="0" applyProtection="0"/>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3" fillId="2" borderId="0">
      <alignment/>
      <protection/>
    </xf>
    <xf numFmtId="0" fontId="43"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3"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1" fillId="0" borderId="0" applyNumberFormat="0" applyBorder="0" applyAlignment="0">
      <protection/>
    </xf>
    <xf numFmtId="0" fontId="1" fillId="0" borderId="0" applyNumberFormat="0" applyBorder="0" applyAlignment="0">
      <protection/>
    </xf>
    <xf numFmtId="0" fontId="43" fillId="2" borderId="0">
      <alignment/>
      <protection/>
    </xf>
    <xf numFmtId="0" fontId="1" fillId="0" borderId="0" applyNumberFormat="0" applyBorder="0" applyAlignment="0">
      <protection/>
    </xf>
    <xf numFmtId="0" fontId="1" fillId="0" borderId="0" applyNumberFormat="0" applyBorder="0" applyAlignment="0">
      <protection/>
    </xf>
    <xf numFmtId="0" fontId="1" fillId="0" borderId="0" applyNumberFormat="0" applyBorder="0" applyAlignment="0">
      <protection/>
    </xf>
    <xf numFmtId="0" fontId="43" fillId="2" borderId="0">
      <alignment/>
      <protection/>
    </xf>
    <xf numFmtId="0" fontId="1" fillId="0" borderId="0" applyNumberFormat="0" applyBorder="0" applyAlignment="0">
      <protection/>
    </xf>
    <xf numFmtId="0" fontId="43" fillId="2" borderId="0">
      <alignment/>
      <protection/>
    </xf>
    <xf numFmtId="0" fontId="43" fillId="2" borderId="0">
      <alignment/>
      <protection/>
    </xf>
    <xf numFmtId="0" fontId="43" fillId="2" borderId="0">
      <alignment/>
      <protection/>
    </xf>
    <xf numFmtId="0" fontId="1" fillId="0" borderId="0" applyNumberFormat="0" applyBorder="0" applyAlignment="0">
      <protection/>
    </xf>
    <xf numFmtId="0" fontId="1" fillId="0" borderId="0" applyNumberFormat="0" applyBorder="0" applyAlignment="0">
      <protection/>
    </xf>
    <xf numFmtId="0" fontId="18" fillId="0"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 fillId="0" borderId="0">
      <alignment/>
      <protection/>
    </xf>
    <xf numFmtId="0" fontId="1" fillId="0"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4" fillId="2" borderId="0">
      <alignment/>
      <protection/>
    </xf>
    <xf numFmtId="0" fontId="4" fillId="2" borderId="0">
      <alignment/>
      <protection/>
    </xf>
    <xf numFmtId="0" fontId="4" fillId="2" borderId="0">
      <alignment/>
      <protection/>
    </xf>
    <xf numFmtId="0" fontId="4" fillId="2" borderId="0">
      <alignment/>
      <protection/>
    </xf>
    <xf numFmtId="0" fontId="4" fillId="2" borderId="0">
      <alignment/>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5"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5"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6" fillId="0" borderId="0">
      <alignment/>
      <protection/>
    </xf>
    <xf numFmtId="0" fontId="46" fillId="0" borderId="0">
      <alignment/>
      <protection/>
    </xf>
    <xf numFmtId="0" fontId="1" fillId="0" borderId="0" applyFill="0" applyBorder="0" applyAlignment="0" applyProtection="0"/>
    <xf numFmtId="0" fontId="17" fillId="0" borderId="0" applyFill="0" applyBorder="0" applyAlignment="0" applyProtection="0"/>
    <xf numFmtId="0" fontId="1" fillId="0" borderId="0" applyFill="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27" fillId="2" borderId="0" applyNumberFormat="0" applyBorder="0" applyAlignment="0" applyProtection="0"/>
    <xf numFmtId="0" fontId="27"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7" fillId="2" borderId="0" applyNumberFormat="0" applyBorder="0" applyAlignment="0" applyProtection="0"/>
    <xf numFmtId="0" fontId="27" fillId="1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27" fillId="26"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27" fillId="27" borderId="0" applyNumberFormat="0" applyBorder="0" applyAlignment="0" applyProtection="0"/>
    <xf numFmtId="201" fontId="1" fillId="0" borderId="0" applyFill="0" applyBorder="0" applyAlignment="0" applyProtection="0"/>
    <xf numFmtId="0" fontId="1" fillId="0" borderId="0" applyFill="0" applyBorder="0" applyAlignment="0" applyProtection="0"/>
    <xf numFmtId="202" fontId="1" fillId="0" borderId="0" applyFill="0" applyBorder="0" applyAlignment="0" applyProtection="0"/>
    <xf numFmtId="203" fontId="1" fillId="0" borderId="0" applyFill="0" applyBorder="0" applyAlignment="0" applyProtection="0"/>
    <xf numFmtId="0" fontId="1" fillId="0" borderId="0" applyFill="0" applyBorder="0" applyAlignment="0" applyProtection="0"/>
    <xf numFmtId="203" fontId="1" fillId="0" borderId="0" applyFill="0" applyBorder="0" applyAlignment="0" applyProtection="0"/>
    <xf numFmtId="0" fontId="47" fillId="0" borderId="0">
      <alignment horizontal="center" wrapText="1"/>
      <protection locked="0"/>
    </xf>
    <xf numFmtId="204" fontId="1" fillId="0" borderId="0" applyFill="0" applyBorder="0" applyAlignment="0" applyProtection="0"/>
    <xf numFmtId="0" fontId="1" fillId="0" borderId="0" applyFill="0" applyBorder="0" applyAlignment="0" applyProtection="0"/>
    <xf numFmtId="205" fontId="1" fillId="0" borderId="0" applyFill="0" applyBorder="0" applyAlignment="0" applyProtection="0"/>
    <xf numFmtId="206" fontId="1" fillId="0" borderId="0" applyFill="0" applyBorder="0" applyAlignment="0" applyProtection="0"/>
    <xf numFmtId="0" fontId="1" fillId="0" borderId="0" applyFill="0" applyBorder="0" applyAlignment="0" applyProtection="0"/>
    <xf numFmtId="207" fontId="1" fillId="0" borderId="0" applyFill="0" applyBorder="0" applyAlignment="0" applyProtection="0"/>
    <xf numFmtId="170" fontId="1" fillId="0" borderId="0" applyFill="0" applyBorder="0" applyAlignment="0" applyProtection="0"/>
    <xf numFmtId="0" fontId="91" fillId="4" borderId="0" applyNumberFormat="0" applyBorder="0" applyAlignment="0" applyProtection="0"/>
    <xf numFmtId="0" fontId="48" fillId="0" borderId="0">
      <alignment/>
      <protection/>
    </xf>
    <xf numFmtId="0" fontId="46" fillId="0" borderId="0">
      <alignment/>
      <protection/>
    </xf>
    <xf numFmtId="0" fontId="19" fillId="0" borderId="0" applyNumberFormat="0" applyFill="0" applyBorder="0" applyAlignment="0" applyProtection="0"/>
    <xf numFmtId="0" fontId="49" fillId="0" borderId="0">
      <alignment/>
      <protection/>
    </xf>
    <xf numFmtId="0" fontId="50" fillId="0" borderId="0">
      <alignment/>
      <protection/>
    </xf>
    <xf numFmtId="0" fontId="50" fillId="0" borderId="0">
      <alignment/>
      <protection/>
    </xf>
    <xf numFmtId="0" fontId="10" fillId="0" borderId="0">
      <alignment/>
      <protection/>
    </xf>
    <xf numFmtId="0" fontId="49" fillId="0" borderId="0">
      <alignment/>
      <protection/>
    </xf>
    <xf numFmtId="0" fontId="51" fillId="0" borderId="0">
      <alignment/>
      <protection/>
    </xf>
    <xf numFmtId="0" fontId="52" fillId="0" borderId="0">
      <alignment/>
      <protection/>
    </xf>
    <xf numFmtId="0" fontId="51" fillId="0" borderId="0">
      <alignment/>
      <protection/>
    </xf>
    <xf numFmtId="0" fontId="53" fillId="0" borderId="0">
      <alignment/>
      <protection/>
    </xf>
    <xf numFmtId="208" fontId="18" fillId="0" borderId="0" applyFill="0" applyBorder="0" applyAlignment="0">
      <protection/>
    </xf>
    <xf numFmtId="209" fontId="1" fillId="0" borderId="0" applyFill="0" applyBorder="0" applyAlignment="0">
      <protection/>
    </xf>
    <xf numFmtId="210" fontId="1" fillId="0" borderId="0" applyFill="0" applyBorder="0" applyAlignment="0">
      <protection/>
    </xf>
    <xf numFmtId="211" fontId="18" fillId="0" borderId="0" applyFill="0" applyBorder="0" applyAlignment="0">
      <protection/>
    </xf>
    <xf numFmtId="212" fontId="18" fillId="0" borderId="0" applyFill="0" applyBorder="0" applyAlignment="0">
      <protection/>
    </xf>
    <xf numFmtId="213" fontId="18" fillId="0" borderId="0" applyFill="0" applyBorder="0" applyAlignment="0">
      <protection/>
    </xf>
    <xf numFmtId="214" fontId="18" fillId="0" borderId="0" applyFill="0" applyBorder="0" applyAlignment="0">
      <protection/>
    </xf>
    <xf numFmtId="209" fontId="1" fillId="0" borderId="0" applyFill="0" applyBorder="0" applyAlignment="0">
      <protection/>
    </xf>
    <xf numFmtId="0" fontId="92" fillId="28" borderId="5" applyNumberFormat="0" applyAlignment="0" applyProtection="0"/>
    <xf numFmtId="0" fontId="14" fillId="0" borderId="0">
      <alignment/>
      <protection/>
    </xf>
    <xf numFmtId="215" fontId="1" fillId="0" borderId="0" applyFill="0" applyBorder="0" applyAlignment="0" applyProtection="0"/>
    <xf numFmtId="0" fontId="93" fillId="29" borderId="6" applyNumberFormat="0" applyAlignment="0" applyProtection="0"/>
    <xf numFmtId="171" fontId="1" fillId="0" borderId="0" applyFill="0" applyBorder="0" applyAlignment="0" applyProtection="0"/>
    <xf numFmtId="0" fontId="54" fillId="0" borderId="0">
      <alignment/>
      <protection/>
    </xf>
    <xf numFmtId="0" fontId="1" fillId="0" borderId="0">
      <alignment/>
      <protection/>
    </xf>
    <xf numFmtId="1" fontId="55" fillId="0" borderId="0" applyBorder="0">
      <alignment/>
      <protection/>
    </xf>
    <xf numFmtId="43" fontId="0" fillId="0" borderId="0" applyFont="0" applyFill="0" applyBorder="0" applyAlignment="0" applyProtection="0"/>
    <xf numFmtId="216" fontId="3" fillId="0" borderId="0">
      <alignment/>
      <protection/>
    </xf>
    <xf numFmtId="216" fontId="3" fillId="0" borderId="0">
      <alignment/>
      <protection/>
    </xf>
    <xf numFmtId="216" fontId="3" fillId="0" borderId="0">
      <alignment/>
      <protection/>
    </xf>
    <xf numFmtId="216" fontId="3" fillId="0" borderId="0">
      <alignment/>
      <protection/>
    </xf>
    <xf numFmtId="216" fontId="3" fillId="0" borderId="0">
      <alignment/>
      <protection/>
    </xf>
    <xf numFmtId="216" fontId="3" fillId="0" borderId="0">
      <alignment/>
      <protection/>
    </xf>
    <xf numFmtId="216" fontId="3" fillId="0" borderId="0">
      <alignment/>
      <protection/>
    </xf>
    <xf numFmtId="216" fontId="3" fillId="0" borderId="0">
      <alignment/>
      <protection/>
    </xf>
    <xf numFmtId="41" fontId="0" fillId="0" borderId="0" applyFont="0" applyFill="0" applyBorder="0" applyAlignment="0" applyProtection="0"/>
    <xf numFmtId="41" fontId="18"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13" fontId="1" fillId="0" borderId="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7" fontId="56" fillId="0" borderId="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190"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0" fontId="1" fillId="0" borderId="0" applyFill="0" applyBorder="0" applyAlignment="0" applyProtection="0"/>
    <xf numFmtId="190" fontId="1" fillId="0" borderId="0" applyFill="0" applyBorder="0" applyAlignment="0" applyProtection="0"/>
    <xf numFmtId="190" fontId="1"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190" fontId="1" fillId="0" borderId="0" applyFill="0" applyBorder="0" applyAlignment="0" applyProtection="0"/>
    <xf numFmtId="190" fontId="1"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188" fontId="1" fillId="0" borderId="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8" fontId="57" fillId="0" borderId="0" applyProtection="0">
      <alignment/>
    </xf>
    <xf numFmtId="190" fontId="1" fillId="0" borderId="0" applyFill="0" applyBorder="0" applyAlignment="0" applyProtection="0"/>
    <xf numFmtId="43" fontId="19" fillId="0" borderId="0" applyFont="0" applyFill="0" applyBorder="0" applyAlignment="0" applyProtection="0"/>
    <xf numFmtId="217" fontId="56" fillId="0" borderId="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19" fontId="1" fillId="0" borderId="0" applyFill="0" applyBorder="0" applyAlignment="0" applyProtection="0"/>
    <xf numFmtId="0" fontId="0" fillId="0" borderId="0" applyFont="0" applyFill="0" applyBorder="0" applyAlignment="0" applyProtection="0"/>
    <xf numFmtId="190" fontId="1" fillId="0" borderId="0" applyFill="0" applyBorder="0" applyAlignment="0" applyProtection="0"/>
    <xf numFmtId="43" fontId="18" fillId="0" borderId="0" applyFont="0" applyFill="0" applyBorder="0" applyAlignment="0" applyProtection="0"/>
    <xf numFmtId="217" fontId="56" fillId="0" borderId="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 fillId="0" borderId="0" applyFill="0" applyBorder="0" applyAlignment="0" applyProtection="0"/>
    <xf numFmtId="220" fontId="10" fillId="0" borderId="0">
      <alignment/>
      <protection/>
    </xf>
    <xf numFmtId="220" fontId="10" fillId="0" borderId="0">
      <alignment/>
      <protection/>
    </xf>
    <xf numFmtId="3" fontId="1" fillId="0" borderId="0" applyFont="0" applyFill="0" applyBorder="0" applyAlignment="0" applyProtection="0"/>
    <xf numFmtId="0" fontId="58" fillId="0" borderId="0" applyNumberFormat="0" applyAlignment="0">
      <protection/>
    </xf>
    <xf numFmtId="221" fontId="1" fillId="0" borderId="0" applyFill="0" applyBorder="0" applyAlignment="0" applyProtection="0"/>
    <xf numFmtId="222" fontId="1" fillId="0" borderId="0" applyFill="0" applyBorder="0" applyAlignment="0" applyProtection="0"/>
    <xf numFmtId="175" fontId="17" fillId="0" borderId="0" applyFill="0" applyBorder="0" applyAlignment="0" applyProtection="0"/>
    <xf numFmtId="176" fontId="1" fillId="0" borderId="0" applyFill="0" applyBorder="0" applyAlignment="0" applyProtection="0"/>
    <xf numFmtId="219" fontId="1"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3" fontId="1" fillId="0" borderId="0" applyFill="0" applyBorder="0" applyAlignment="0" applyProtection="0"/>
    <xf numFmtId="209" fontId="1" fillId="0" borderId="0" applyFill="0" applyBorder="0" applyAlignment="0" applyProtection="0"/>
    <xf numFmtId="224" fontId="1" fillId="0" borderId="0" applyFill="0" applyBorder="0" applyAlignment="0" applyProtection="0"/>
    <xf numFmtId="225" fontId="11" fillId="0" borderId="0" applyFont="0" applyFill="0" applyBorder="0" applyAlignment="0" applyProtection="0"/>
    <xf numFmtId="226" fontId="1" fillId="0" borderId="0">
      <alignment/>
      <protection/>
    </xf>
    <xf numFmtId="226" fontId="1" fillId="0" borderId="0">
      <alignment/>
      <protection/>
    </xf>
    <xf numFmtId="226" fontId="1" fillId="0" borderId="0">
      <alignment/>
      <protection/>
    </xf>
    <xf numFmtId="227" fontId="18" fillId="0" borderId="7">
      <alignment/>
      <protection/>
    </xf>
    <xf numFmtId="0" fontId="1" fillId="0" borderId="0" applyFont="0" applyFill="0" applyBorder="0" applyAlignment="0" applyProtection="0"/>
    <xf numFmtId="0" fontId="33" fillId="0" borderId="0" applyProtection="0">
      <alignment/>
    </xf>
    <xf numFmtId="14" fontId="59" fillId="0" borderId="0" applyFill="0" applyBorder="0" applyAlignment="0">
      <protection/>
    </xf>
    <xf numFmtId="0" fontId="1" fillId="0" borderId="0" applyFill="0" applyBorder="0" applyAlignment="0" applyProtection="0"/>
    <xf numFmtId="176" fontId="1" fillId="0" borderId="0" applyFill="0" applyBorder="0" applyAlignment="0" applyProtection="0"/>
    <xf numFmtId="0" fontId="60" fillId="0" borderId="0">
      <alignment/>
      <protection/>
    </xf>
    <xf numFmtId="228" fontId="1" fillId="0" borderId="0" applyFill="0" applyBorder="0" applyAlignment="0" applyProtection="0"/>
    <xf numFmtId="229" fontId="1" fillId="0" borderId="0" applyFill="0" applyBorder="0" applyAlignment="0" applyProtection="0"/>
    <xf numFmtId="230" fontId="1" fillId="0" borderId="0" applyFill="0" applyBorder="0" applyAlignment="0" applyProtection="0"/>
    <xf numFmtId="173" fontId="17" fillId="0" borderId="0" applyFill="0" applyBorder="0" applyAlignment="0" applyProtection="0"/>
    <xf numFmtId="231" fontId="1" fillId="0" borderId="0" applyFill="0" applyBorder="0" applyAlignment="0" applyProtection="0"/>
    <xf numFmtId="232" fontId="1" fillId="0" borderId="0">
      <alignment/>
      <protection/>
    </xf>
    <xf numFmtId="232" fontId="1" fillId="0" borderId="0">
      <alignment/>
      <protection/>
    </xf>
    <xf numFmtId="232" fontId="1" fillId="0" borderId="0">
      <alignment/>
      <protection/>
    </xf>
    <xf numFmtId="0" fontId="61" fillId="0" borderId="0">
      <alignment vertical="top" wrapText="1"/>
      <protection/>
    </xf>
    <xf numFmtId="175" fontId="1" fillId="0" borderId="0" applyFill="0" applyBorder="0" applyAlignment="0" applyProtection="0"/>
    <xf numFmtId="176" fontId="1" fillId="0" borderId="0" applyFill="0" applyBorder="0" applyAlignment="0" applyProtection="0"/>
    <xf numFmtId="175" fontId="1" fillId="0" borderId="0" applyFill="0" applyBorder="0" applyAlignment="0" applyProtection="0"/>
    <xf numFmtId="196"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96" fontId="1" fillId="0" borderId="0" applyFill="0" applyBorder="0" applyAlignment="0" applyProtection="0"/>
    <xf numFmtId="196"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6"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75" fontId="1" fillId="0" borderId="0" applyFill="0" applyBorder="0" applyAlignment="0" applyProtection="0"/>
    <xf numFmtId="196" fontId="1" fillId="0" borderId="0" applyFill="0" applyBorder="0" applyAlignment="0" applyProtection="0"/>
    <xf numFmtId="196"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233" fontId="1" fillId="0" borderId="0" applyFill="0" applyBorder="0" applyAlignment="0" applyProtection="0"/>
    <xf numFmtId="233" fontId="1" fillId="0" borderId="0" applyFill="0" applyBorder="0" applyAlignment="0" applyProtection="0"/>
    <xf numFmtId="196" fontId="1" fillId="0" borderId="0" applyFill="0" applyBorder="0" applyAlignment="0" applyProtection="0"/>
    <xf numFmtId="176" fontId="1" fillId="0" borderId="0" applyFill="0" applyBorder="0" applyAlignment="0" applyProtection="0"/>
    <xf numFmtId="190"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90" fontId="1" fillId="0" borderId="0" applyFill="0" applyBorder="0" applyAlignment="0" applyProtection="0"/>
    <xf numFmtId="190"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190"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76" fontId="1" fillId="0" borderId="0" applyFill="0" applyBorder="0" applyAlignment="0" applyProtection="0"/>
    <xf numFmtId="190" fontId="1" fillId="0" borderId="0" applyFill="0" applyBorder="0" applyAlignment="0" applyProtection="0"/>
    <xf numFmtId="190"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234" fontId="1" fillId="0" borderId="0" applyFill="0" applyBorder="0" applyAlignment="0" applyProtection="0"/>
    <xf numFmtId="234" fontId="1" fillId="0" borderId="0" applyFill="0" applyBorder="0" applyAlignment="0" applyProtection="0"/>
    <xf numFmtId="190" fontId="1" fillId="0" borderId="0" applyFill="0" applyBorder="0" applyAlignment="0" applyProtection="0"/>
    <xf numFmtId="3" fontId="1" fillId="0" borderId="0" applyBorder="0" applyAlignment="0">
      <protection/>
    </xf>
    <xf numFmtId="3" fontId="1" fillId="0" borderId="0" applyBorder="0" applyAlignment="0">
      <protection/>
    </xf>
    <xf numFmtId="3" fontId="1" fillId="0" borderId="0" applyBorder="0" applyAlignment="0">
      <protection/>
    </xf>
    <xf numFmtId="3" fontId="17"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62" fillId="0" borderId="0">
      <alignment/>
      <protection/>
    </xf>
    <xf numFmtId="213" fontId="18" fillId="0" borderId="0" applyFill="0" applyBorder="0" applyAlignment="0">
      <protection/>
    </xf>
    <xf numFmtId="209" fontId="1" fillId="0" borderId="0" applyFill="0" applyBorder="0" applyAlignment="0">
      <protection/>
    </xf>
    <xf numFmtId="213" fontId="18" fillId="0" borderId="0" applyFill="0" applyBorder="0" applyAlignment="0">
      <protection/>
    </xf>
    <xf numFmtId="214" fontId="18" fillId="0" borderId="0" applyFill="0" applyBorder="0" applyAlignment="0">
      <protection/>
    </xf>
    <xf numFmtId="209" fontId="1" fillId="0" borderId="0" applyFill="0" applyBorder="0" applyAlignment="0">
      <protection/>
    </xf>
    <xf numFmtId="0" fontId="63" fillId="0" borderId="0" applyNumberFormat="0" applyAlignment="0">
      <protection/>
    </xf>
    <xf numFmtId="235" fontId="1" fillId="0" borderId="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3" fontId="1" fillId="0" borderId="0" applyBorder="0" applyAlignment="0">
      <protection/>
    </xf>
    <xf numFmtId="3" fontId="1" fillId="0" borderId="0" applyBorder="0" applyAlignment="0">
      <protection/>
    </xf>
    <xf numFmtId="3" fontId="1" fillId="0" borderId="0" applyBorder="0" applyAlignment="0">
      <protection/>
    </xf>
    <xf numFmtId="3" fontId="17" fillId="0" borderId="0" applyBorder="0" applyAlignment="0">
      <protection/>
    </xf>
    <xf numFmtId="3" fontId="1" fillId="0" borderId="0" applyBorder="0" applyAlignment="0">
      <protection/>
    </xf>
    <xf numFmtId="3" fontId="1" fillId="0" borderId="0" applyBorder="0" applyAlignment="0">
      <protection/>
    </xf>
    <xf numFmtId="3" fontId="1" fillId="0" borderId="0" applyBorder="0" applyAlignment="0">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2" fontId="1" fillId="0" borderId="0" applyFont="0" applyFill="0" applyBorder="0" applyAlignment="0" applyProtection="0"/>
    <xf numFmtId="2" fontId="33" fillId="0" borderId="0" applyProtection="0">
      <alignment/>
    </xf>
    <xf numFmtId="0" fontId="94"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5" fillId="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236" fontId="50" fillId="0" borderId="0" applyFont="0" applyFill="0" applyBorder="0" applyAlignment="0" applyProtection="0"/>
    <xf numFmtId="0" fontId="1" fillId="0" borderId="0">
      <alignment/>
      <protection/>
    </xf>
    <xf numFmtId="0" fontId="1" fillId="0" borderId="0">
      <alignment/>
      <protection/>
    </xf>
    <xf numFmtId="0" fontId="32" fillId="0" borderId="8" applyNumberFormat="0" applyAlignment="0" applyProtection="0"/>
    <xf numFmtId="0" fontId="32" fillId="0" borderId="9">
      <alignment horizontal="left" vertical="center"/>
      <protection/>
    </xf>
    <xf numFmtId="0" fontId="96" fillId="0" borderId="10" applyNumberFormat="0" applyFill="0" applyAlignment="0" applyProtection="0"/>
    <xf numFmtId="0" fontId="97" fillId="0" borderId="11" applyNumberFormat="0" applyFill="0" applyAlignment="0" applyProtection="0"/>
    <xf numFmtId="0" fontId="98" fillId="0" borderId="12" applyNumberFormat="0" applyFill="0" applyAlignment="0" applyProtection="0"/>
    <xf numFmtId="0" fontId="98" fillId="0" borderId="0" applyNumberFormat="0" applyFill="0" applyBorder="0" applyAlignment="0" applyProtection="0"/>
    <xf numFmtId="0" fontId="1" fillId="0" borderId="0">
      <alignment/>
      <protection/>
    </xf>
    <xf numFmtId="0" fontId="1" fillId="0" borderId="0">
      <alignment/>
      <protection/>
    </xf>
    <xf numFmtId="0" fontId="65" fillId="0" borderId="0" applyProtection="0">
      <alignment/>
    </xf>
    <xf numFmtId="0" fontId="1" fillId="0" borderId="0">
      <alignment/>
      <protection/>
    </xf>
    <xf numFmtId="0" fontId="1" fillId="0" borderId="0">
      <alignment/>
      <protection/>
    </xf>
    <xf numFmtId="0" fontId="32" fillId="0" borderId="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99"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0" fillId="8" borderId="5"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1" fillId="0" borderId="13" applyNumberFormat="0" applyFill="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2" fillId="33" borderId="0" applyNumberFormat="0" applyBorder="0" applyAlignment="0" applyProtection="0"/>
    <xf numFmtId="0" fontId="1" fillId="0" borderId="0">
      <alignment/>
      <protection/>
    </xf>
    <xf numFmtId="0" fontId="1" fillId="0" borderId="0">
      <alignment/>
      <protection/>
    </xf>
    <xf numFmtId="0" fontId="10" fillId="0" borderId="0">
      <alignment/>
      <protection/>
    </xf>
    <xf numFmtId="0" fontId="1" fillId="0" borderId="0">
      <alignment/>
      <protection/>
    </xf>
    <xf numFmtId="37" fontId="66" fillId="0" borderId="0">
      <alignment/>
      <protection/>
    </xf>
    <xf numFmtId="0" fontId="1" fillId="0" borderId="0">
      <alignment/>
      <protection/>
    </xf>
    <xf numFmtId="0" fontId="1" fillId="0" borderId="0">
      <alignment/>
      <protection/>
    </xf>
    <xf numFmtId="0" fontId="1" fillId="0" borderId="0">
      <alignment/>
      <protection/>
    </xf>
    <xf numFmtId="0" fontId="67"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9" fillId="0" borderId="0">
      <alignment/>
      <protection/>
    </xf>
    <xf numFmtId="0" fontId="10" fillId="0" borderId="0">
      <alignment/>
      <protection/>
    </xf>
    <xf numFmtId="0" fontId="18" fillId="0" borderId="0">
      <alignment/>
      <protection/>
    </xf>
    <xf numFmtId="0" fontId="10" fillId="0" borderId="0">
      <alignment/>
      <protection/>
    </xf>
    <xf numFmtId="0" fontId="19" fillId="0" borderId="0">
      <alignment/>
      <protection/>
    </xf>
    <xf numFmtId="0" fontId="19"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 fillId="0" borderId="0">
      <alignment/>
      <protection/>
    </xf>
    <xf numFmtId="0" fontId="19" fillId="0" borderId="0">
      <alignment/>
      <protection/>
    </xf>
    <xf numFmtId="0" fontId="1"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69"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18" fillId="0" borderId="0">
      <alignment/>
      <protection/>
    </xf>
    <xf numFmtId="0" fontId="29" fillId="0" borderId="0">
      <alignment/>
      <protection/>
    </xf>
    <xf numFmtId="0" fontId="29" fillId="0" borderId="0">
      <alignment/>
      <protection/>
    </xf>
    <xf numFmtId="0" fontId="29"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57" fillId="0" borderId="0">
      <alignment/>
      <protection/>
    </xf>
    <xf numFmtId="0" fontId="57" fillId="0" borderId="0" applyProtection="0">
      <alignment/>
    </xf>
    <xf numFmtId="0" fontId="57" fillId="0" borderId="0" applyProtection="0">
      <alignment/>
    </xf>
    <xf numFmtId="0" fontId="57" fillId="0" borderId="0" applyProtection="0">
      <alignment/>
    </xf>
    <xf numFmtId="0" fontId="57" fillId="0" borderId="0" applyProtection="0">
      <alignment/>
    </xf>
    <xf numFmtId="0" fontId="57" fillId="0" borderId="0" applyProtection="0">
      <alignment/>
    </xf>
    <xf numFmtId="0" fontId="25"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46" fillId="0" borderId="0">
      <alignment/>
      <protection/>
    </xf>
    <xf numFmtId="0" fontId="46" fillId="0" borderId="0" applyProtection="0">
      <alignment/>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9"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18" fillId="0" borderId="0">
      <alignment/>
      <protection/>
    </xf>
    <xf numFmtId="0" fontId="1" fillId="0" borderId="0">
      <alignment wrapText="1"/>
      <protection/>
    </xf>
    <xf numFmtId="0" fontId="1" fillId="0" borderId="0">
      <alignment wrapText="1"/>
      <protection/>
    </xf>
    <xf numFmtId="0" fontId="19" fillId="0" borderId="0">
      <alignment/>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18"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4" borderId="14"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3" fillId="28" borderId="15" applyNumberFormat="0" applyAlignment="0" applyProtection="0"/>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237" fontId="18" fillId="0" borderId="16">
      <alignment horizontal="righ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238" fontId="18" fillId="0" borderId="16">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4" fillId="0" borderId="0" applyNumberFormat="0" applyFill="0" applyBorder="0" applyAlignment="0" applyProtection="0"/>
    <xf numFmtId="0" fontId="1" fillId="0" borderId="0">
      <alignment/>
      <protection/>
    </xf>
    <xf numFmtId="0" fontId="28" fillId="0" borderId="17" applyNumberFormat="0" applyFill="0" applyAlignment="0" applyProtection="0"/>
    <xf numFmtId="0" fontId="33" fillId="0" borderId="18"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239" fontId="18" fillId="0" borderId="0">
      <alignment/>
      <protection/>
    </xf>
    <xf numFmtId="0" fontId="1" fillId="0" borderId="0">
      <alignment/>
      <protection/>
    </xf>
    <xf numFmtId="240" fontId="18" fillId="0" borderId="19">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0" fontId="71" fillId="0" borderId="0" applyFont="0" applyFill="0" applyBorder="0" applyAlignment="0" applyProtection="0"/>
    <xf numFmtId="38" fontId="71" fillId="0" borderId="0" applyFont="0" applyFill="0" applyBorder="0" applyAlignment="0" applyProtection="0"/>
    <xf numFmtId="0" fontId="71" fillId="0" borderId="0" applyFont="0" applyFill="0" applyBorder="0" applyAlignment="0" applyProtection="0"/>
    <xf numFmtId="0" fontId="71" fillId="0" borderId="0" applyFont="0" applyFill="0" applyBorder="0" applyAlignment="0" applyProtection="0"/>
    <xf numFmtId="9" fontId="72" fillId="0" borderId="0" applyFont="0" applyFill="0" applyBorder="0" applyAlignment="0" applyProtection="0"/>
    <xf numFmtId="0" fontId="7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03">
    <xf numFmtId="0" fontId="0" fillId="0" borderId="0" xfId="0" applyAlignment="1">
      <alignment/>
    </xf>
    <xf numFmtId="0" fontId="2" fillId="0" borderId="0" xfId="2879" applyFont="1" applyFill="1" applyAlignment="1">
      <alignment/>
      <protection/>
    </xf>
    <xf numFmtId="0" fontId="3" fillId="0" borderId="0" xfId="2879" applyFont="1" applyFill="1">
      <alignment/>
      <protection/>
    </xf>
    <xf numFmtId="0" fontId="3" fillId="0" borderId="0" xfId="2879" applyFont="1" applyFill="1" applyAlignment="1">
      <alignment horizontal="center"/>
      <protection/>
    </xf>
    <xf numFmtId="0" fontId="4" fillId="0" borderId="0" xfId="2879" applyFont="1" applyFill="1">
      <alignment/>
      <protection/>
    </xf>
    <xf numFmtId="0" fontId="7" fillId="0" borderId="0" xfId="2879" applyFont="1" applyFill="1" applyBorder="1" applyAlignment="1">
      <alignment/>
      <protection/>
    </xf>
    <xf numFmtId="0" fontId="3" fillId="0" borderId="0" xfId="2879" applyFont="1" applyFill="1" applyAlignment="1">
      <alignment horizontal="centerContinuous"/>
      <protection/>
    </xf>
    <xf numFmtId="165" fontId="3" fillId="0" borderId="0" xfId="2879" applyNumberFormat="1" applyFont="1" applyFill="1" applyAlignment="1">
      <alignment horizontal="centerContinuous"/>
      <protection/>
    </xf>
    <xf numFmtId="0" fontId="2" fillId="0" borderId="0" xfId="2879" applyFont="1" applyFill="1">
      <alignment/>
      <protection/>
    </xf>
    <xf numFmtId="0" fontId="9" fillId="0" borderId="0" xfId="2879" applyFont="1" applyFill="1">
      <alignment/>
      <protection/>
    </xf>
    <xf numFmtId="0" fontId="10" fillId="0" borderId="0" xfId="2879" applyFont="1" applyFill="1">
      <alignment/>
      <protection/>
    </xf>
    <xf numFmtId="0" fontId="11" fillId="0" borderId="0" xfId="2879" applyFont="1" applyFill="1">
      <alignment/>
      <protection/>
    </xf>
    <xf numFmtId="165" fontId="10" fillId="0" borderId="0" xfId="2879" applyNumberFormat="1" applyFont="1" applyFill="1">
      <alignment/>
      <protection/>
    </xf>
    <xf numFmtId="0" fontId="12" fillId="0" borderId="0" xfId="2879" applyFont="1" applyFill="1">
      <alignment/>
      <protection/>
    </xf>
    <xf numFmtId="0" fontId="13" fillId="0" borderId="0" xfId="2879" applyFont="1" applyFill="1">
      <alignment/>
      <protection/>
    </xf>
    <xf numFmtId="0" fontId="1" fillId="0" borderId="0" xfId="2879" applyFont="1" applyFill="1">
      <alignment/>
      <protection/>
    </xf>
    <xf numFmtId="0" fontId="1" fillId="0" borderId="0" xfId="2879" applyFont="1" applyFill="1" applyAlignment="1">
      <alignment horizontal="center"/>
      <protection/>
    </xf>
    <xf numFmtId="0" fontId="15" fillId="0" borderId="0" xfId="2879" applyFont="1" applyFill="1">
      <alignment/>
      <protection/>
    </xf>
    <xf numFmtId="0" fontId="16" fillId="0" borderId="0" xfId="2879" applyFont="1" applyFill="1" applyAlignment="1">
      <alignment horizontal="center"/>
      <protection/>
    </xf>
    <xf numFmtId="0" fontId="16" fillId="0" borderId="0" xfId="2879" applyFont="1" applyFill="1">
      <alignment/>
      <protection/>
    </xf>
    <xf numFmtId="0" fontId="2" fillId="0" borderId="0" xfId="2878" applyFont="1" applyFill="1" applyAlignment="1">
      <alignment horizontal="left"/>
      <protection/>
    </xf>
    <xf numFmtId="0" fontId="3" fillId="0" borderId="0" xfId="2878" applyFont="1" applyFill="1">
      <alignment/>
      <protection/>
    </xf>
    <xf numFmtId="0" fontId="3" fillId="0" borderId="0" xfId="2878" applyFont="1" applyFill="1" applyAlignment="1">
      <alignment horizontal="center"/>
      <protection/>
    </xf>
    <xf numFmtId="0" fontId="3" fillId="0" borderId="0" xfId="2878" applyFont="1" applyFill="1" applyAlignment="1">
      <alignment/>
      <protection/>
    </xf>
    <xf numFmtId="3" fontId="3" fillId="0" borderId="0" xfId="2878" applyNumberFormat="1" applyFont="1" applyFill="1">
      <alignment/>
      <protection/>
    </xf>
    <xf numFmtId="0" fontId="7" fillId="0" borderId="0" xfId="2878" applyFont="1" applyFill="1">
      <alignment/>
      <protection/>
    </xf>
    <xf numFmtId="0" fontId="7" fillId="0" borderId="0" xfId="2878" applyNumberFormat="1" applyFont="1" applyFill="1" applyAlignment="1">
      <alignment horizontal="right"/>
      <protection/>
    </xf>
    <xf numFmtId="0" fontId="3" fillId="0" borderId="19" xfId="2878" applyFont="1" applyFill="1" applyBorder="1" applyAlignment="1">
      <alignment horizontal="center" vertical="center" wrapText="1"/>
      <protection/>
    </xf>
    <xf numFmtId="49" fontId="2" fillId="0" borderId="20" xfId="2721" applyNumberFormat="1" applyFont="1" applyFill="1" applyBorder="1" applyAlignment="1">
      <alignment horizontal="center" vertical="center" wrapText="1"/>
      <protection/>
    </xf>
    <xf numFmtId="3" fontId="14" fillId="0" borderId="0" xfId="2721" applyNumberFormat="1" applyFont="1" applyFill="1">
      <alignment/>
      <protection/>
    </xf>
    <xf numFmtId="0" fontId="14" fillId="0" borderId="0" xfId="2721" applyFont="1" applyFill="1">
      <alignment/>
      <protection/>
    </xf>
    <xf numFmtId="49" fontId="2" fillId="0" borderId="21" xfId="2721" applyNumberFormat="1" applyFont="1" applyFill="1" applyBorder="1" applyAlignment="1">
      <alignment horizontal="center" vertical="center" wrapText="1"/>
      <protection/>
    </xf>
    <xf numFmtId="49" fontId="3" fillId="0" borderId="21" xfId="2721" applyNumberFormat="1" applyFont="1" applyFill="1" applyBorder="1" applyAlignment="1">
      <alignment horizontal="center" vertical="center" wrapText="1"/>
      <protection/>
    </xf>
    <xf numFmtId="49" fontId="7" fillId="0" borderId="21" xfId="2721" applyNumberFormat="1" applyFont="1" applyFill="1" applyBorder="1" applyAlignment="1">
      <alignment horizontal="center" vertical="center" wrapText="1"/>
      <protection/>
    </xf>
    <xf numFmtId="0" fontId="1" fillId="0" borderId="0" xfId="2721" applyFont="1" applyFill="1">
      <alignment/>
      <protection/>
    </xf>
    <xf numFmtId="0" fontId="2" fillId="0" borderId="21" xfId="2721" applyNumberFormat="1" applyFont="1" applyFill="1" applyBorder="1" applyAlignment="1">
      <alignment horizontal="center" vertical="center" wrapText="1"/>
      <protection/>
    </xf>
    <xf numFmtId="0" fontId="15" fillId="0" borderId="0" xfId="2721" applyFont="1" applyFill="1">
      <alignment/>
      <protection/>
    </xf>
    <xf numFmtId="0" fontId="2" fillId="0" borderId="21" xfId="2721" applyFont="1" applyFill="1" applyBorder="1" applyAlignment="1">
      <alignment horizontal="center" vertical="center" wrapText="1"/>
      <protection/>
    </xf>
    <xf numFmtId="0" fontId="3" fillId="0" borderId="21" xfId="2721" applyFont="1" applyFill="1" applyBorder="1" applyAlignment="1">
      <alignment horizontal="center" vertical="center" wrapText="1"/>
      <protection/>
    </xf>
    <xf numFmtId="0" fontId="7" fillId="0" borderId="21" xfId="2721" applyFont="1" applyFill="1" applyBorder="1" applyAlignment="1">
      <alignment horizontal="center" vertical="center" wrapText="1"/>
      <protection/>
    </xf>
    <xf numFmtId="1" fontId="3" fillId="0" borderId="21" xfId="2721" applyNumberFormat="1" applyFont="1" applyFill="1" applyBorder="1" applyAlignment="1">
      <alignment horizontal="center" vertical="center" wrapText="1"/>
      <protection/>
    </xf>
    <xf numFmtId="0" fontId="2" fillId="0" borderId="22" xfId="2878" applyFont="1" applyFill="1" applyBorder="1" applyAlignment="1">
      <alignment horizontal="center" vertical="center" wrapText="1"/>
      <protection/>
    </xf>
    <xf numFmtId="0" fontId="6" fillId="0" borderId="0" xfId="2879" applyFont="1" applyFill="1" applyAlignment="1">
      <alignment/>
      <protection/>
    </xf>
    <xf numFmtId="0" fontId="16" fillId="0" borderId="0" xfId="2879" applyFont="1" applyFill="1" applyAlignment="1">
      <alignment/>
      <protection/>
    </xf>
    <xf numFmtId="167" fontId="19" fillId="0" borderId="0" xfId="2880" applyNumberFormat="1" applyFont="1" applyFill="1" applyBorder="1" applyAlignment="1">
      <alignment/>
      <protection/>
    </xf>
    <xf numFmtId="0" fontId="19" fillId="0" borderId="0" xfId="2878" applyFont="1" applyFill="1" applyAlignment="1">
      <alignment horizontal="center"/>
      <protection/>
    </xf>
    <xf numFmtId="49" fontId="19" fillId="0" borderId="0" xfId="2878" applyNumberFormat="1" applyFont="1" applyFill="1" applyAlignment="1">
      <alignment/>
      <protection/>
    </xf>
    <xf numFmtId="0" fontId="19" fillId="0" borderId="0" xfId="2878" applyFont="1" applyFill="1">
      <alignment/>
      <protection/>
    </xf>
    <xf numFmtId="0" fontId="19" fillId="0" borderId="0" xfId="0" applyFont="1" applyAlignment="1">
      <alignment/>
    </xf>
    <xf numFmtId="0" fontId="19" fillId="0" borderId="0" xfId="0" applyFont="1" applyAlignment="1">
      <alignment horizontal="center"/>
    </xf>
    <xf numFmtId="0" fontId="16" fillId="0" borderId="0" xfId="2879" applyFont="1" applyFill="1" applyBorder="1" applyAlignment="1">
      <alignment horizontal="center"/>
      <protection/>
    </xf>
    <xf numFmtId="0" fontId="19" fillId="0" borderId="0" xfId="0" applyFont="1" applyBorder="1" applyAlignment="1">
      <alignment horizontal="center"/>
    </xf>
    <xf numFmtId="0" fontId="19" fillId="0" borderId="0" xfId="0" applyFont="1" applyBorder="1" applyAlignment="1">
      <alignment/>
    </xf>
    <xf numFmtId="0" fontId="16" fillId="0" borderId="0" xfId="2879" applyFont="1" applyFill="1" applyBorder="1">
      <alignment/>
      <protection/>
    </xf>
    <xf numFmtId="168" fontId="10" fillId="0" borderId="0" xfId="2235" applyNumberFormat="1" applyFont="1" applyAlignment="1">
      <alignment horizontal="right"/>
    </xf>
    <xf numFmtId="168" fontId="10" fillId="0" borderId="0" xfId="2235" applyNumberFormat="1" applyFont="1" applyFill="1" applyAlignment="1">
      <alignment horizontal="right"/>
    </xf>
    <xf numFmtId="0" fontId="10" fillId="0" borderId="0" xfId="2761" applyFont="1">
      <alignment/>
      <protection/>
    </xf>
    <xf numFmtId="168" fontId="10" fillId="35" borderId="0" xfId="2235" applyNumberFormat="1" applyFont="1" applyFill="1" applyAlignment="1">
      <alignment horizontal="right"/>
    </xf>
    <xf numFmtId="0" fontId="19" fillId="0" borderId="0" xfId="2761" applyFont="1">
      <alignment/>
      <protection/>
    </xf>
    <xf numFmtId="0" fontId="10" fillId="36" borderId="0" xfId="2761" applyFont="1" applyFill="1">
      <alignment/>
      <protection/>
    </xf>
    <xf numFmtId="0" fontId="3" fillId="36" borderId="19" xfId="2761" applyFont="1" applyFill="1" applyBorder="1" applyAlignment="1">
      <alignment horizontal="center" vertical="center" wrapText="1"/>
      <protection/>
    </xf>
    <xf numFmtId="0" fontId="3" fillId="36" borderId="19" xfId="2761" applyFont="1" applyFill="1" applyBorder="1" applyAlignment="1">
      <alignment horizontal="right" vertical="center" wrapText="1"/>
      <protection/>
    </xf>
    <xf numFmtId="0" fontId="3" fillId="0" borderId="19" xfId="2761" applyFont="1" applyFill="1" applyBorder="1" applyAlignment="1">
      <alignment horizontal="center" vertical="center" wrapText="1"/>
      <protection/>
    </xf>
    <xf numFmtId="0" fontId="3" fillId="35" borderId="19" xfId="2761" applyFont="1" applyFill="1" applyBorder="1" applyAlignment="1">
      <alignment horizontal="center" vertical="center" wrapText="1"/>
      <protection/>
    </xf>
    <xf numFmtId="168" fontId="19" fillId="0" borderId="21" xfId="2235" applyNumberFormat="1" applyFont="1" applyBorder="1" applyAlignment="1">
      <alignment horizontal="right" vertical="center" wrapText="1"/>
    </xf>
    <xf numFmtId="0" fontId="12" fillId="0" borderId="0" xfId="2761" applyFont="1">
      <alignment/>
      <protection/>
    </xf>
    <xf numFmtId="0" fontId="8" fillId="0" borderId="0" xfId="2761" applyFont="1">
      <alignment/>
      <protection/>
    </xf>
    <xf numFmtId="0" fontId="19" fillId="0" borderId="0" xfId="2702" applyFont="1" applyFill="1">
      <alignment/>
      <protection/>
    </xf>
    <xf numFmtId="0" fontId="19" fillId="35" borderId="0" xfId="2702" applyFont="1" applyFill="1">
      <alignment/>
      <protection/>
    </xf>
    <xf numFmtId="0" fontId="2" fillId="0" borderId="0" xfId="2866" applyFont="1" applyBorder="1" applyAlignment="1">
      <alignment horizontal="center" vertical="top" readingOrder="1"/>
      <protection/>
    </xf>
    <xf numFmtId="0" fontId="22" fillId="0" borderId="0" xfId="2702" applyFont="1" applyAlignment="1">
      <alignment horizontal="center"/>
      <protection/>
    </xf>
    <xf numFmtId="0" fontId="19" fillId="0" borderId="0" xfId="2702" applyFont="1">
      <alignment/>
      <protection/>
    </xf>
    <xf numFmtId="0" fontId="6" fillId="0" borderId="0" xfId="2702" applyFont="1">
      <alignment/>
      <protection/>
    </xf>
    <xf numFmtId="0" fontId="5" fillId="0" borderId="0" xfId="2698" applyFont="1" applyFill="1" applyAlignment="1">
      <alignment horizontal="center"/>
      <protection/>
    </xf>
    <xf numFmtId="0" fontId="5" fillId="0" borderId="0" xfId="2698" applyFont="1" applyFill="1" applyBorder="1" applyAlignment="1">
      <alignment horizontal="center"/>
      <protection/>
    </xf>
    <xf numFmtId="0" fontId="76" fillId="0" borderId="0" xfId="2698" applyFont="1" applyFill="1">
      <alignment/>
      <protection/>
    </xf>
    <xf numFmtId="0" fontId="6" fillId="0" borderId="0" xfId="2698" applyFont="1" applyFill="1" applyBorder="1" applyAlignment="1">
      <alignment/>
      <protection/>
    </xf>
    <xf numFmtId="0" fontId="2" fillId="0" borderId="19" xfId="2698" applyFont="1" applyFill="1" applyBorder="1" applyAlignment="1">
      <alignment horizontal="center" vertical="center" wrapText="1"/>
      <protection/>
    </xf>
    <xf numFmtId="3" fontId="19" fillId="0" borderId="0" xfId="2698" applyNumberFormat="1" applyFont="1" applyFill="1">
      <alignment/>
      <protection/>
    </xf>
    <xf numFmtId="0" fontId="5" fillId="0" borderId="0" xfId="2698" applyFont="1" applyFill="1">
      <alignment/>
      <protection/>
    </xf>
    <xf numFmtId="3" fontId="5" fillId="0" borderId="0" xfId="2698" applyNumberFormat="1" applyFont="1" applyFill="1">
      <alignment/>
      <protection/>
    </xf>
    <xf numFmtId="0" fontId="3" fillId="0" borderId="0" xfId="2698" applyFont="1" applyFill="1" applyBorder="1">
      <alignment/>
      <protection/>
    </xf>
    <xf numFmtId="167" fontId="3" fillId="0" borderId="0" xfId="2698" applyNumberFormat="1" applyFont="1" applyFill="1" applyBorder="1">
      <alignment/>
      <protection/>
    </xf>
    <xf numFmtId="0" fontId="19" fillId="0" borderId="0" xfId="2698" applyFont="1" applyFill="1" applyBorder="1">
      <alignment/>
      <protection/>
    </xf>
    <xf numFmtId="0" fontId="5" fillId="0" borderId="0" xfId="2698" applyFont="1" applyFill="1" applyBorder="1" applyAlignment="1">
      <alignment/>
      <protection/>
    </xf>
    <xf numFmtId="0" fontId="22" fillId="0" borderId="0" xfId="2698" applyFont="1" applyFill="1">
      <alignment/>
      <protection/>
    </xf>
    <xf numFmtId="0" fontId="22" fillId="0" borderId="0" xfId="2698" applyFont="1" applyFill="1" applyAlignment="1">
      <alignment/>
      <protection/>
    </xf>
    <xf numFmtId="165" fontId="19" fillId="0" borderId="0" xfId="2698" applyNumberFormat="1" applyFont="1" applyFill="1">
      <alignment/>
      <protection/>
    </xf>
    <xf numFmtId="242" fontId="19" fillId="0" borderId="0" xfId="2698" applyNumberFormat="1" applyFont="1" applyFill="1">
      <alignment/>
      <protection/>
    </xf>
    <xf numFmtId="243" fontId="19" fillId="0" borderId="0" xfId="2698" applyNumberFormat="1" applyFont="1" applyFill="1">
      <alignment/>
      <protection/>
    </xf>
    <xf numFmtId="217" fontId="19" fillId="0" borderId="0" xfId="2698" applyNumberFormat="1" applyFont="1" applyFill="1">
      <alignment/>
      <protection/>
    </xf>
    <xf numFmtId="243" fontId="5" fillId="0" borderId="0" xfId="2698" applyNumberFormat="1" applyFont="1" applyFill="1">
      <alignment/>
      <protection/>
    </xf>
    <xf numFmtId="241" fontId="19" fillId="0" borderId="0" xfId="2193" applyNumberFormat="1" applyFont="1" applyFill="1" applyAlignment="1">
      <alignment/>
    </xf>
    <xf numFmtId="0" fontId="5" fillId="0" borderId="19" xfId="2698" applyFont="1" applyBorder="1" applyAlignment="1">
      <alignment horizontal="center" vertical="center"/>
      <protection/>
    </xf>
    <xf numFmtId="0" fontId="5" fillId="0" borderId="19" xfId="2698" applyFont="1" applyBorder="1" applyAlignment="1">
      <alignment horizontal="center" vertical="center" wrapText="1"/>
      <protection/>
    </xf>
    <xf numFmtId="0" fontId="5" fillId="0" borderId="19" xfId="2698" applyFont="1" applyFill="1" applyBorder="1" applyAlignment="1">
      <alignment horizontal="center" vertical="center" wrapText="1"/>
      <protection/>
    </xf>
    <xf numFmtId="0" fontId="19" fillId="0" borderId="23" xfId="2698" applyFont="1" applyBorder="1" applyAlignment="1">
      <alignment horizontal="center" vertical="center"/>
      <protection/>
    </xf>
    <xf numFmtId="0" fontId="19" fillId="0" borderId="23" xfId="2698" applyFont="1" applyBorder="1" applyAlignment="1">
      <alignment horizontal="center" vertical="center" wrapText="1"/>
      <protection/>
    </xf>
    <xf numFmtId="0" fontId="19" fillId="0" borderId="23" xfId="2698" applyFont="1" applyFill="1" applyBorder="1" applyAlignment="1">
      <alignment horizontal="center" vertical="center"/>
      <protection/>
    </xf>
    <xf numFmtId="168" fontId="8" fillId="0" borderId="19" xfId="2240" applyNumberFormat="1" applyFont="1" applyFill="1" applyBorder="1" applyAlignment="1">
      <alignment horizontal="center" vertical="center" wrapText="1"/>
    </xf>
    <xf numFmtId="0" fontId="0" fillId="0" borderId="0" xfId="0" applyAlignment="1">
      <alignment/>
    </xf>
    <xf numFmtId="0" fontId="2" fillId="0" borderId="0" xfId="2869" applyFont="1" applyBorder="1" applyAlignment="1">
      <alignment horizontal="center" vertical="top" readingOrder="1"/>
      <protection/>
    </xf>
    <xf numFmtId="0" fontId="79" fillId="0" borderId="0" xfId="0" applyFont="1" applyAlignment="1">
      <alignment/>
    </xf>
    <xf numFmtId="0" fontId="5" fillId="0" borderId="0" xfId="2698" applyFont="1" applyAlignment="1">
      <alignment horizontal="right" vertical="center"/>
      <protection/>
    </xf>
    <xf numFmtId="0" fontId="19" fillId="0" borderId="0" xfId="2698" applyFont="1" applyFill="1">
      <alignment/>
      <protection/>
    </xf>
    <xf numFmtId="0" fontId="5" fillId="0" borderId="0" xfId="2698" applyFont="1" applyFill="1" applyAlignment="1">
      <alignment horizontal="right"/>
      <protection/>
    </xf>
    <xf numFmtId="0" fontId="5" fillId="0" borderId="0" xfId="2698" applyFont="1" applyFill="1" applyAlignment="1">
      <alignment horizontal="right" vertical="center"/>
      <protection/>
    </xf>
    <xf numFmtId="0" fontId="6" fillId="0" borderId="24" xfId="2698" applyFont="1" applyFill="1" applyBorder="1" applyAlignment="1">
      <alignment/>
      <protection/>
    </xf>
    <xf numFmtId="0" fontId="6" fillId="0" borderId="24" xfId="2698" applyFont="1" applyFill="1" applyBorder="1" applyAlignment="1">
      <alignment horizontal="right"/>
      <protection/>
    </xf>
    <xf numFmtId="0" fontId="6" fillId="0" borderId="24" xfId="2698" applyFont="1" applyFill="1" applyBorder="1" applyAlignment="1">
      <alignment horizontal="right" vertical="center"/>
      <protection/>
    </xf>
    <xf numFmtId="0" fontId="5"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2761" applyFont="1" applyAlignment="1">
      <alignment horizontal="center"/>
      <protection/>
    </xf>
    <xf numFmtId="0" fontId="6" fillId="0" borderId="0" xfId="2755" applyFont="1" applyFill="1" applyAlignment="1">
      <alignment horizontal="right" vertical="center"/>
      <protection/>
    </xf>
    <xf numFmtId="0" fontId="5" fillId="0" borderId="0" xfId="0" applyFont="1" applyAlignment="1">
      <alignment horizontal="center" vertical="center" wrapText="1"/>
    </xf>
    <xf numFmtId="0" fontId="5" fillId="0" borderId="19" xfId="2755" applyFont="1" applyFill="1" applyBorder="1" applyAlignment="1">
      <alignment horizontal="center" vertical="center" wrapText="1"/>
      <protection/>
    </xf>
    <xf numFmtId="0" fontId="75" fillId="0" borderId="0" xfId="0" applyFont="1" applyAlignment="1">
      <alignment/>
    </xf>
    <xf numFmtId="165" fontId="5" fillId="0" borderId="0" xfId="2236" applyNumberFormat="1" applyFont="1" applyFill="1" applyBorder="1" applyAlignment="1">
      <alignment vertical="center" wrapText="1"/>
    </xf>
    <xf numFmtId="165" fontId="80" fillId="0" borderId="0" xfId="0" applyNumberFormat="1" applyFont="1" applyAlignment="1">
      <alignment/>
    </xf>
    <xf numFmtId="165" fontId="26" fillId="0" borderId="0" xfId="2236" applyNumberFormat="1" applyFont="1" applyFill="1" applyBorder="1" applyAlignment="1">
      <alignment vertical="center" wrapText="1"/>
    </xf>
    <xf numFmtId="0" fontId="80" fillId="0" borderId="0" xfId="0" applyFont="1" applyAlignment="1">
      <alignment/>
    </xf>
    <xf numFmtId="165" fontId="26" fillId="36" borderId="0" xfId="2236" applyNumberFormat="1" applyFont="1" applyFill="1" applyBorder="1" applyAlignment="1">
      <alignment vertical="center" wrapText="1"/>
    </xf>
    <xf numFmtId="0" fontId="5" fillId="0" borderId="0" xfId="2707" applyFont="1" applyFill="1">
      <alignment/>
      <protection/>
    </xf>
    <xf numFmtId="0" fontId="19" fillId="0" borderId="0" xfId="2707" applyFont="1" applyFill="1">
      <alignment/>
      <protection/>
    </xf>
    <xf numFmtId="0" fontId="19" fillId="0" borderId="0" xfId="2707" applyFont="1" applyFill="1" applyAlignment="1">
      <alignment/>
      <protection/>
    </xf>
    <xf numFmtId="0" fontId="6" fillId="0" borderId="0" xfId="2707" applyFont="1" applyFill="1" applyBorder="1" applyAlignment="1">
      <alignment horizontal="right"/>
      <protection/>
    </xf>
    <xf numFmtId="166" fontId="6" fillId="0" borderId="0" xfId="2707" applyNumberFormat="1" applyFont="1" applyFill="1" applyBorder="1" applyAlignment="1">
      <alignment horizontal="right"/>
      <protection/>
    </xf>
    <xf numFmtId="0" fontId="5" fillId="0" borderId="19" xfId="2707" applyFont="1" applyFill="1" applyBorder="1" applyAlignment="1">
      <alignment horizontal="center" vertical="center" wrapText="1"/>
      <protection/>
    </xf>
    <xf numFmtId="166" fontId="5" fillId="0" borderId="19" xfId="2707" applyNumberFormat="1" applyFont="1" applyFill="1" applyBorder="1" applyAlignment="1">
      <alignment horizontal="center" vertical="center" wrapText="1"/>
      <protection/>
    </xf>
    <xf numFmtId="0" fontId="19" fillId="0" borderId="0" xfId="2707" applyFont="1" applyFill="1" applyAlignment="1">
      <alignment vertical="center"/>
      <protection/>
    </xf>
    <xf numFmtId="166" fontId="5" fillId="0" borderId="0" xfId="2707" applyNumberFormat="1" applyFont="1" applyFill="1">
      <alignment/>
      <protection/>
    </xf>
    <xf numFmtId="166" fontId="19" fillId="0" borderId="0" xfId="2707" applyNumberFormat="1" applyFont="1" applyFill="1">
      <alignment/>
      <protection/>
    </xf>
    <xf numFmtId="0" fontId="5" fillId="0" borderId="0" xfId="2866" applyFont="1" applyBorder="1" applyAlignment="1">
      <alignment horizontal="center" vertical="top" readingOrder="1"/>
      <protection/>
    </xf>
    <xf numFmtId="0" fontId="81" fillId="0" borderId="0" xfId="2755" applyFont="1" applyFill="1">
      <alignment/>
      <protection/>
    </xf>
    <xf numFmtId="0" fontId="5" fillId="0" borderId="0" xfId="2707" applyFont="1" applyFill="1" applyAlignment="1">
      <alignment horizontal="center"/>
      <protection/>
    </xf>
    <xf numFmtId="0" fontId="5" fillId="0" borderId="0" xfId="2755" applyFont="1" applyFill="1" applyAlignment="1">
      <alignment horizontal="center"/>
      <protection/>
    </xf>
    <xf numFmtId="0" fontId="3" fillId="0" borderId="0" xfId="2698" applyFont="1" applyBorder="1">
      <alignment/>
      <protection/>
    </xf>
    <xf numFmtId="0" fontId="6" fillId="0" borderId="0" xfId="2698" applyFont="1" applyBorder="1" applyAlignment="1">
      <alignment/>
      <protection/>
    </xf>
    <xf numFmtId="0" fontId="5" fillId="0" borderId="0" xfId="2698" applyFont="1" applyBorder="1" applyAlignment="1">
      <alignment/>
      <protection/>
    </xf>
    <xf numFmtId="0" fontId="5" fillId="0" borderId="0" xfId="2698" applyFont="1" applyBorder="1" applyAlignment="1">
      <alignment horizontal="center"/>
      <protection/>
    </xf>
    <xf numFmtId="0" fontId="19" fillId="0" borderId="0" xfId="2698" applyFont="1" applyBorder="1">
      <alignment/>
      <protection/>
    </xf>
    <xf numFmtId="0" fontId="77" fillId="0" borderId="0" xfId="0" applyFont="1" applyAlignment="1">
      <alignment/>
    </xf>
    <xf numFmtId="0" fontId="19" fillId="0" borderId="19" xfId="0" applyFont="1" applyBorder="1" applyAlignment="1">
      <alignment horizontal="center" vertical="center" wrapText="1"/>
    </xf>
    <xf numFmtId="165" fontId="19" fillId="0" borderId="0" xfId="0" applyNumberFormat="1" applyFont="1" applyAlignment="1">
      <alignment/>
    </xf>
    <xf numFmtId="165" fontId="19" fillId="0" borderId="0" xfId="2242" applyNumberFormat="1" applyFont="1" applyBorder="1" applyAlignment="1">
      <alignment/>
    </xf>
    <xf numFmtId="43" fontId="19" fillId="0" borderId="0" xfId="2242" applyFont="1" applyBorder="1" applyAlignment="1">
      <alignment/>
    </xf>
    <xf numFmtId="0" fontId="6" fillId="0" borderId="0" xfId="0" applyFont="1" applyAlignment="1">
      <alignment/>
    </xf>
    <xf numFmtId="0" fontId="78" fillId="0" borderId="0" xfId="0" applyFont="1" applyAlignment="1">
      <alignment/>
    </xf>
    <xf numFmtId="165" fontId="3" fillId="0" borderId="0" xfId="2193" applyNumberFormat="1" applyFont="1" applyFill="1" applyAlignment="1">
      <alignment/>
    </xf>
    <xf numFmtId="165" fontId="4" fillId="0" borderId="0" xfId="2193" applyNumberFormat="1" applyFont="1" applyFill="1" applyAlignment="1">
      <alignment/>
    </xf>
    <xf numFmtId="165" fontId="10" fillId="0" borderId="0" xfId="2193" applyNumberFormat="1" applyFont="1" applyFill="1" applyAlignment="1">
      <alignment/>
    </xf>
    <xf numFmtId="165" fontId="11" fillId="0" borderId="0" xfId="2193" applyNumberFormat="1" applyFont="1" applyFill="1" applyAlignment="1">
      <alignment/>
    </xf>
    <xf numFmtId="3" fontId="5" fillId="0" borderId="25"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3" fontId="19" fillId="0" borderId="4" xfId="0" applyNumberFormat="1" applyFont="1" applyFill="1" applyBorder="1" applyAlignment="1">
      <alignment horizontal="right" vertical="center" wrapText="1"/>
    </xf>
    <xf numFmtId="3" fontId="5" fillId="0" borderId="26" xfId="0" applyNumberFormat="1" applyFont="1" applyFill="1" applyBorder="1" applyAlignment="1">
      <alignment horizontal="right" vertical="center" wrapText="1"/>
    </xf>
    <xf numFmtId="0" fontId="2" fillId="0" borderId="20" xfId="2879" applyFont="1" applyBorder="1" applyAlignment="1">
      <alignment horizontal="center" vertical="center" wrapText="1"/>
      <protection/>
    </xf>
    <xf numFmtId="0" fontId="2" fillId="0" borderId="20" xfId="2879" applyFont="1" applyBorder="1" applyAlignment="1">
      <alignment horizontal="justify" vertical="center" wrapText="1"/>
      <protection/>
    </xf>
    <xf numFmtId="0" fontId="2" fillId="0" borderId="21" xfId="2879" applyFont="1" applyBorder="1" applyAlignment="1">
      <alignment horizontal="center" vertical="center" wrapText="1"/>
      <protection/>
    </xf>
    <xf numFmtId="0" fontId="2" fillId="0" borderId="21" xfId="2879" applyFont="1" applyBorder="1" applyAlignment="1">
      <alignment horizontal="justify" vertical="center" wrapText="1"/>
      <protection/>
    </xf>
    <xf numFmtId="0" fontId="3" fillId="0" borderId="21" xfId="2879" applyFont="1" applyBorder="1" applyAlignment="1">
      <alignment horizontal="center" vertical="center" wrapText="1"/>
      <protection/>
    </xf>
    <xf numFmtId="0" fontId="3" fillId="0" borderId="21" xfId="2879" applyFont="1" applyBorder="1" applyAlignment="1">
      <alignment horizontal="justify" vertical="center" wrapText="1"/>
      <protection/>
    </xf>
    <xf numFmtId="0" fontId="3" fillId="0" borderId="27" xfId="2879" applyFont="1" applyBorder="1" applyAlignment="1">
      <alignment horizontal="center" vertical="center" wrapText="1"/>
      <protection/>
    </xf>
    <xf numFmtId="0" fontId="3" fillId="0" borderId="27" xfId="2879" applyFont="1" applyBorder="1" applyAlignment="1">
      <alignment horizontal="justify" vertical="center" wrapText="1"/>
      <protection/>
    </xf>
    <xf numFmtId="0" fontId="3" fillId="0" borderId="22" xfId="2879" applyFont="1" applyBorder="1" applyAlignment="1">
      <alignment horizontal="center" vertical="center" wrapText="1"/>
      <protection/>
    </xf>
    <xf numFmtId="0" fontId="3" fillId="0" borderId="22" xfId="2879" applyFont="1" applyBorder="1" applyAlignment="1">
      <alignment horizontal="justify" vertical="center" wrapText="1"/>
      <protection/>
    </xf>
    <xf numFmtId="0" fontId="2" fillId="0" borderId="22" xfId="2879" applyFont="1" applyBorder="1" applyAlignment="1">
      <alignment horizontal="center" vertical="center" wrapText="1"/>
      <protection/>
    </xf>
    <xf numFmtId="0" fontId="2" fillId="0" borderId="22" xfId="2879" applyFont="1" applyBorder="1" applyAlignment="1">
      <alignment vertical="center" wrapText="1"/>
      <protection/>
    </xf>
    <xf numFmtId="0" fontId="5" fillId="36" borderId="20" xfId="2756" applyFont="1" applyFill="1" applyBorder="1" applyAlignment="1">
      <alignment horizontal="center" vertical="center" wrapText="1"/>
      <protection/>
    </xf>
    <xf numFmtId="0" fontId="23" fillId="36" borderId="20" xfId="0" applyFont="1" applyFill="1" applyBorder="1" applyAlignment="1">
      <alignment vertical="center" wrapText="1"/>
    </xf>
    <xf numFmtId="0" fontId="19" fillId="36" borderId="21" xfId="0" applyFont="1" applyFill="1" applyBorder="1" applyAlignment="1">
      <alignment horizontal="center" vertical="center" wrapText="1"/>
    </xf>
    <xf numFmtId="0" fontId="19" fillId="36" borderId="21" xfId="0" applyFont="1" applyFill="1" applyBorder="1" applyAlignment="1">
      <alignment horizontal="justify" vertical="center" wrapText="1"/>
    </xf>
    <xf numFmtId="0" fontId="19" fillId="36" borderId="21" xfId="2756" applyFont="1" applyFill="1" applyBorder="1" applyAlignment="1">
      <alignment horizontal="center" vertical="center" wrapText="1"/>
      <protection/>
    </xf>
    <xf numFmtId="0" fontId="19" fillId="36" borderId="21" xfId="0" applyFont="1" applyFill="1" applyBorder="1" applyAlignment="1">
      <alignment vertical="center" wrapText="1"/>
    </xf>
    <xf numFmtId="0" fontId="19" fillId="36" borderId="22" xfId="0" applyFont="1" applyFill="1" applyBorder="1" applyAlignment="1">
      <alignment horizontal="center" vertical="center" wrapText="1"/>
    </xf>
    <xf numFmtId="0" fontId="25" fillId="36" borderId="22" xfId="0" applyFont="1" applyFill="1" applyBorder="1" applyAlignment="1">
      <alignment vertical="center" wrapText="1"/>
    </xf>
    <xf numFmtId="242" fontId="5" fillId="0" borderId="0" xfId="2698" applyNumberFormat="1" applyFont="1" applyFill="1">
      <alignment/>
      <protection/>
    </xf>
    <xf numFmtId="165" fontId="5" fillId="0" borderId="0" xfId="2698" applyNumberFormat="1" applyFont="1" applyFill="1">
      <alignment/>
      <protection/>
    </xf>
    <xf numFmtId="0" fontId="28" fillId="0" borderId="0" xfId="0" applyFont="1" applyAlignment="1">
      <alignment/>
    </xf>
    <xf numFmtId="0" fontId="10" fillId="0" borderId="23" xfId="2763" applyFont="1" applyBorder="1" applyAlignment="1">
      <alignment horizontal="center" wrapText="1"/>
      <protection/>
    </xf>
    <xf numFmtId="0" fontId="8" fillId="0" borderId="20" xfId="2763" applyFont="1" applyBorder="1" applyAlignment="1">
      <alignment horizontal="center" vertical="center" wrapText="1"/>
      <protection/>
    </xf>
    <xf numFmtId="0" fontId="8" fillId="0" borderId="20" xfId="2763" applyFont="1" applyBorder="1" applyAlignment="1">
      <alignment horizontal="left" vertical="center" wrapText="1"/>
      <protection/>
    </xf>
    <xf numFmtId="0" fontId="10" fillId="0" borderId="21" xfId="2763" applyFont="1" applyBorder="1" applyAlignment="1">
      <alignment horizontal="center" vertical="center" wrapText="1"/>
      <protection/>
    </xf>
    <xf numFmtId="0" fontId="10" fillId="0" borderId="21" xfId="2763" applyFont="1" applyBorder="1" applyAlignment="1">
      <alignment horizontal="left" vertical="center" wrapText="1"/>
      <protection/>
    </xf>
    <xf numFmtId="0" fontId="8" fillId="0" borderId="21" xfId="2763" applyFont="1" applyBorder="1" applyAlignment="1">
      <alignment horizontal="center" vertical="center" wrapText="1"/>
      <protection/>
    </xf>
    <xf numFmtId="0" fontId="8" fillId="0" borderId="21" xfId="2763" applyFont="1" applyBorder="1" applyAlignment="1">
      <alignment horizontal="left" vertical="center" wrapText="1"/>
      <protection/>
    </xf>
    <xf numFmtId="0" fontId="10" fillId="0" borderId="22" xfId="2763" applyFont="1" applyBorder="1" applyAlignment="1">
      <alignment horizontal="center" vertical="center" wrapText="1"/>
      <protection/>
    </xf>
    <xf numFmtId="0" fontId="10" fillId="0" borderId="22" xfId="2763" applyFont="1" applyBorder="1" applyAlignment="1">
      <alignment horizontal="left" vertical="center" wrapText="1"/>
      <protection/>
    </xf>
    <xf numFmtId="0" fontId="23" fillId="0" borderId="0" xfId="0" applyFont="1" applyAlignment="1">
      <alignment horizontal="center"/>
    </xf>
    <xf numFmtId="168" fontId="2" fillId="0" borderId="20" xfId="2763" applyNumberFormat="1" applyFont="1" applyBorder="1" applyAlignment="1">
      <alignment horizontal="right" vertical="center" wrapText="1"/>
      <protection/>
    </xf>
    <xf numFmtId="0" fontId="3" fillId="0" borderId="21" xfId="2763" applyFont="1" applyBorder="1" applyAlignment="1">
      <alignment horizontal="right" vertical="center" wrapText="1"/>
      <protection/>
    </xf>
    <xf numFmtId="0" fontId="2" fillId="0" borderId="21" xfId="2763" applyFont="1" applyBorder="1" applyAlignment="1">
      <alignment horizontal="right" vertical="center" wrapText="1"/>
      <protection/>
    </xf>
    <xf numFmtId="0" fontId="3" fillId="0" borderId="22" xfId="2763" applyFont="1" applyBorder="1" applyAlignment="1">
      <alignment horizontal="right" vertical="center" wrapText="1"/>
      <protection/>
    </xf>
    <xf numFmtId="3" fontId="10" fillId="0" borderId="23" xfId="2240" applyNumberFormat="1" applyFont="1" applyFill="1" applyBorder="1" applyAlignment="1">
      <alignment horizontal="center" wrapText="1"/>
    </xf>
    <xf numFmtId="0" fontId="6" fillId="0" borderId="0" xfId="2879" applyFont="1" applyFill="1" applyBorder="1" applyAlignment="1">
      <alignment horizontal="center"/>
      <protection/>
    </xf>
    <xf numFmtId="0" fontId="6" fillId="0" borderId="0" xfId="2879" applyFont="1" applyFill="1" applyBorder="1" applyAlignment="1">
      <alignment/>
      <protection/>
    </xf>
    <xf numFmtId="0" fontId="16" fillId="0" borderId="0" xfId="2879" applyFont="1" applyFill="1" applyBorder="1" applyAlignment="1">
      <alignment/>
      <protection/>
    </xf>
    <xf numFmtId="0" fontId="19" fillId="0" borderId="0" xfId="2702" applyFont="1" applyAlignment="1">
      <alignment/>
      <protection/>
    </xf>
    <xf numFmtId="43" fontId="3" fillId="0" borderId="0" xfId="2193" applyFont="1" applyFill="1" applyAlignment="1">
      <alignment/>
    </xf>
    <xf numFmtId="0" fontId="28" fillId="0" borderId="0" xfId="0" applyFont="1" applyAlignment="1">
      <alignment/>
    </xf>
    <xf numFmtId="0" fontId="2" fillId="0" borderId="19" xfId="2698" applyFont="1" applyFill="1" applyBorder="1" applyAlignment="1">
      <alignment horizontal="center"/>
      <protection/>
    </xf>
    <xf numFmtId="43" fontId="14" fillId="0" borderId="0" xfId="2193" applyFont="1" applyFill="1" applyAlignment="1">
      <alignment/>
    </xf>
    <xf numFmtId="3" fontId="15" fillId="0" borderId="0" xfId="2721" applyNumberFormat="1" applyFont="1" applyFill="1">
      <alignment/>
      <protection/>
    </xf>
    <xf numFmtId="0" fontId="19" fillId="0" borderId="0" xfId="0" applyFont="1" applyFill="1" applyAlignment="1">
      <alignment/>
    </xf>
    <xf numFmtId="0" fontId="19" fillId="0" borderId="0" xfId="0" applyFont="1" applyFill="1" applyAlignment="1">
      <alignment horizontal="center"/>
    </xf>
    <xf numFmtId="3" fontId="19" fillId="0" borderId="0" xfId="0" applyNumberFormat="1" applyFont="1" applyFill="1" applyAlignment="1">
      <alignment/>
    </xf>
    <xf numFmtId="3" fontId="5" fillId="0" borderId="19" xfId="0" applyNumberFormat="1" applyFont="1" applyFill="1" applyBorder="1" applyAlignment="1">
      <alignment horizontal="center" vertical="center" wrapText="1"/>
    </xf>
    <xf numFmtId="3" fontId="19" fillId="0" borderId="19" xfId="0" applyNumberFormat="1" applyFont="1" applyFill="1" applyBorder="1" applyAlignment="1">
      <alignment/>
    </xf>
    <xf numFmtId="0" fontId="19" fillId="0" borderId="16"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8" xfId="0" applyFont="1" applyFill="1" applyBorder="1" applyAlignment="1">
      <alignment horizontal="center" vertical="center"/>
    </xf>
    <xf numFmtId="3" fontId="5" fillId="0" borderId="25" xfId="0" applyNumberFormat="1" applyFont="1" applyFill="1" applyBorder="1" applyAlignment="1">
      <alignment horizontal="center" vertical="center" wrapText="1"/>
    </xf>
    <xf numFmtId="3" fontId="5" fillId="0" borderId="25" xfId="0" applyNumberFormat="1" applyFont="1" applyFill="1" applyBorder="1" applyAlignment="1">
      <alignment horizontal="left" vertical="center" wrapText="1"/>
    </xf>
    <xf numFmtId="166" fontId="5" fillId="0" borderId="25" xfId="0" applyNumberFormat="1" applyFont="1" applyFill="1" applyBorder="1" applyAlignment="1">
      <alignment horizontal="right" vertical="center" wrapText="1"/>
    </xf>
    <xf numFmtId="3" fontId="5"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left" vertical="center" wrapText="1"/>
    </xf>
    <xf numFmtId="166" fontId="5" fillId="0" borderId="4" xfId="0" applyNumberFormat="1" applyFont="1" applyFill="1" applyBorder="1" applyAlignment="1">
      <alignment horizontal="right" vertical="center" wrapText="1"/>
    </xf>
    <xf numFmtId="3" fontId="5" fillId="0" borderId="19" xfId="0" applyNumberFormat="1" applyFont="1" applyFill="1" applyBorder="1" applyAlignment="1">
      <alignment/>
    </xf>
    <xf numFmtId="3" fontId="19" fillId="0" borderId="4" xfId="0" applyNumberFormat="1" applyFont="1" applyFill="1" applyBorder="1" applyAlignment="1">
      <alignment horizontal="center" vertical="center" wrapText="1"/>
    </xf>
    <xf numFmtId="3" fontId="19" fillId="0" borderId="4" xfId="0" applyNumberFormat="1" applyFont="1" applyFill="1" applyBorder="1" applyAlignment="1">
      <alignment horizontal="left" vertical="center" wrapText="1"/>
    </xf>
    <xf numFmtId="3" fontId="19" fillId="0" borderId="4" xfId="2873" applyNumberFormat="1" applyFont="1" applyFill="1" applyBorder="1" applyAlignment="1">
      <alignment horizontal="right" vertical="center" wrapText="1"/>
      <protection/>
    </xf>
    <xf numFmtId="166" fontId="19" fillId="0" borderId="4" xfId="0" applyNumberFormat="1" applyFont="1" applyFill="1" applyBorder="1" applyAlignment="1">
      <alignment horizontal="right" vertical="center" wrapText="1"/>
    </xf>
    <xf numFmtId="3" fontId="5" fillId="0" borderId="4" xfId="2872" applyNumberFormat="1" applyFont="1" applyFill="1" applyBorder="1" applyAlignment="1">
      <alignment horizontal="right" vertical="center" wrapText="1"/>
      <protection/>
    </xf>
    <xf numFmtId="3" fontId="5" fillId="0" borderId="26" xfId="0" applyNumberFormat="1" applyFont="1" applyFill="1" applyBorder="1" applyAlignment="1">
      <alignment horizontal="center" vertical="center" wrapText="1"/>
    </xf>
    <xf numFmtId="3" fontId="5" fillId="0" borderId="26" xfId="0" applyNumberFormat="1" applyFont="1" applyFill="1" applyBorder="1" applyAlignment="1">
      <alignment horizontal="left" vertical="center" wrapText="1"/>
    </xf>
    <xf numFmtId="166" fontId="5" fillId="0" borderId="26" xfId="0" applyNumberFormat="1" applyFont="1" applyFill="1" applyBorder="1" applyAlignment="1">
      <alignment horizontal="right" vertical="center" wrapText="1"/>
    </xf>
    <xf numFmtId="0" fontId="19" fillId="0" borderId="0" xfId="0" applyFont="1" applyFill="1" applyBorder="1" applyAlignment="1">
      <alignment horizontal="center"/>
    </xf>
    <xf numFmtId="0" fontId="19" fillId="0" borderId="0" xfId="0" applyFont="1" applyFill="1" applyBorder="1" applyAlignment="1">
      <alignment/>
    </xf>
    <xf numFmtId="0" fontId="81" fillId="0" borderId="0" xfId="0" applyFont="1" applyFill="1" applyAlignment="1">
      <alignment horizontal="center"/>
    </xf>
    <xf numFmtId="0" fontId="81" fillId="0" borderId="0" xfId="0" applyFont="1" applyFill="1" applyAlignment="1">
      <alignment/>
    </xf>
    <xf numFmtId="168" fontId="5" fillId="0" borderId="20" xfId="2235" applyNumberFormat="1" applyFont="1" applyBorder="1" applyAlignment="1">
      <alignment horizontal="right" vertical="center" wrapText="1"/>
    </xf>
    <xf numFmtId="168" fontId="5" fillId="0" borderId="20" xfId="2235" applyNumberFormat="1" applyFont="1" applyFill="1" applyBorder="1" applyAlignment="1">
      <alignment horizontal="right" vertical="center" wrapText="1"/>
    </xf>
    <xf numFmtId="168" fontId="19" fillId="0" borderId="20" xfId="2235" applyNumberFormat="1" applyFont="1" applyBorder="1" applyAlignment="1">
      <alignment horizontal="right" vertical="center" wrapText="1"/>
    </xf>
    <xf numFmtId="168" fontId="19" fillId="0" borderId="21" xfId="2235" applyNumberFormat="1" applyFont="1" applyFill="1" applyBorder="1" applyAlignment="1">
      <alignment horizontal="right" vertical="center" wrapText="1"/>
    </xf>
    <xf numFmtId="0" fontId="19" fillId="0" borderId="21" xfId="2761" applyFont="1" applyBorder="1" applyAlignment="1">
      <alignment horizontal="center" vertical="center" wrapText="1"/>
      <protection/>
    </xf>
    <xf numFmtId="168" fontId="6" fillId="0" borderId="21" xfId="2235" applyNumberFormat="1" applyFont="1" applyBorder="1" applyAlignment="1">
      <alignment horizontal="right" vertical="center" wrapText="1"/>
    </xf>
    <xf numFmtId="168" fontId="6" fillId="0" borderId="21" xfId="2235" applyNumberFormat="1" applyFont="1" applyFill="1" applyBorder="1" applyAlignment="1">
      <alignment horizontal="right" vertical="center" wrapText="1"/>
    </xf>
    <xf numFmtId="0" fontId="6" fillId="0" borderId="21" xfId="2761" applyFont="1" applyBorder="1" applyAlignment="1">
      <alignment horizontal="center" vertical="center" wrapText="1"/>
      <protection/>
    </xf>
    <xf numFmtId="168" fontId="5" fillId="0" borderId="21" xfId="2235" applyNumberFormat="1" applyFont="1" applyBorder="1" applyAlignment="1">
      <alignment horizontal="right" vertical="center" wrapText="1"/>
    </xf>
    <xf numFmtId="168" fontId="5" fillId="0" borderId="21" xfId="2235" applyNumberFormat="1" applyFont="1" applyFill="1" applyBorder="1" applyAlignment="1">
      <alignment horizontal="right" vertical="center" wrapText="1"/>
    </xf>
    <xf numFmtId="168" fontId="5" fillId="0" borderId="22" xfId="2235" applyNumberFormat="1" applyFont="1" applyBorder="1" applyAlignment="1">
      <alignment horizontal="right" vertical="center" wrapText="1"/>
    </xf>
    <xf numFmtId="168" fontId="5" fillId="0" borderId="22" xfId="2235" applyNumberFormat="1" applyFont="1" applyFill="1" applyBorder="1" applyAlignment="1">
      <alignment horizontal="right" vertical="center" wrapText="1"/>
    </xf>
    <xf numFmtId="0" fontId="5" fillId="0" borderId="22" xfId="2761" applyFont="1" applyBorder="1" applyAlignment="1">
      <alignment horizontal="center" vertical="center" wrapText="1"/>
      <protection/>
    </xf>
    <xf numFmtId="165" fontId="5" fillId="0" borderId="20" xfId="2234" applyNumberFormat="1" applyFont="1" applyBorder="1" applyAlignment="1">
      <alignment horizontal="right" vertical="center" wrapText="1"/>
    </xf>
    <xf numFmtId="0" fontId="5" fillId="0" borderId="20" xfId="2698" applyFont="1" applyBorder="1" applyAlignment="1">
      <alignment horizontal="center" vertical="center" wrapText="1"/>
      <protection/>
    </xf>
    <xf numFmtId="0" fontId="5" fillId="0" borderId="20" xfId="2698" applyFont="1" applyBorder="1" applyAlignment="1">
      <alignment horizontal="justify" vertical="center" wrapText="1"/>
      <protection/>
    </xf>
    <xf numFmtId="0" fontId="19" fillId="0" borderId="21" xfId="2707" applyFont="1" applyBorder="1" applyAlignment="1">
      <alignment horizontal="center" vertical="center" wrapText="1"/>
      <protection/>
    </xf>
    <xf numFmtId="0" fontId="25" fillId="0" borderId="21" xfId="0" applyFont="1" applyBorder="1" applyAlignment="1">
      <alignment vertical="center" wrapText="1"/>
    </xf>
    <xf numFmtId="0" fontId="19" fillId="0" borderId="22" xfId="2707" applyFont="1" applyBorder="1" applyAlignment="1">
      <alignment horizontal="center" vertical="center" wrapText="1"/>
      <protection/>
    </xf>
    <xf numFmtId="0" fontId="25" fillId="0" borderId="22" xfId="0" applyFont="1" applyBorder="1" applyAlignment="1">
      <alignment vertical="center" wrapText="1"/>
    </xf>
    <xf numFmtId="0" fontId="19" fillId="0" borderId="19" xfId="2878" applyFont="1" applyFill="1" applyBorder="1" applyAlignment="1">
      <alignment horizontal="center" vertical="center" wrapText="1"/>
      <protection/>
    </xf>
    <xf numFmtId="49" fontId="5" fillId="0" borderId="20" xfId="2721" applyNumberFormat="1" applyFont="1" applyFill="1" applyBorder="1" applyAlignment="1">
      <alignment horizontal="center" vertical="center" wrapText="1"/>
      <protection/>
    </xf>
    <xf numFmtId="49" fontId="5" fillId="0" borderId="21" xfId="2721" applyNumberFormat="1" applyFont="1" applyFill="1" applyBorder="1" applyAlignment="1">
      <alignment horizontal="left" vertical="center" wrapText="1"/>
      <protection/>
    </xf>
    <xf numFmtId="49" fontId="5" fillId="0" borderId="21" xfId="2721" applyNumberFormat="1" applyFont="1" applyFill="1" applyBorder="1" applyAlignment="1">
      <alignment vertical="center" wrapText="1"/>
      <protection/>
    </xf>
    <xf numFmtId="49" fontId="19" fillId="0" borderId="21" xfId="2721" applyNumberFormat="1" applyFont="1" applyFill="1" applyBorder="1" applyAlignment="1">
      <alignment horizontal="left" vertical="center" wrapText="1"/>
      <protection/>
    </xf>
    <xf numFmtId="49" fontId="6" fillId="0" borderId="21" xfId="2721" applyNumberFormat="1" applyFont="1" applyFill="1" applyBorder="1" applyAlignment="1">
      <alignment horizontal="left" vertical="center" wrapText="1"/>
      <protection/>
    </xf>
    <xf numFmtId="167" fontId="5" fillId="0" borderId="21" xfId="2721" applyNumberFormat="1" applyFont="1" applyFill="1" applyBorder="1" applyAlignment="1">
      <alignment vertical="center" wrapText="1"/>
      <protection/>
    </xf>
    <xf numFmtId="49" fontId="6" fillId="0" borderId="21" xfId="2721" applyNumberFormat="1" applyFont="1" applyFill="1" applyBorder="1" applyAlignment="1">
      <alignment vertical="center" wrapText="1"/>
      <protection/>
    </xf>
    <xf numFmtId="49" fontId="19" fillId="0" borderId="21" xfId="2721" applyNumberFormat="1" applyFont="1" applyFill="1" applyBorder="1" applyAlignment="1">
      <alignment vertical="center" wrapText="1"/>
      <protection/>
    </xf>
    <xf numFmtId="0" fontId="5" fillId="0" borderId="21" xfId="2721" applyNumberFormat="1" applyFont="1" applyFill="1" applyBorder="1" applyAlignment="1">
      <alignment vertical="center" wrapText="1"/>
      <protection/>
    </xf>
    <xf numFmtId="0" fontId="19" fillId="0" borderId="21" xfId="2721" applyNumberFormat="1" applyFont="1" applyFill="1" applyBorder="1" applyAlignment="1">
      <alignment horizontal="left" vertical="center" wrapText="1"/>
      <protection/>
    </xf>
    <xf numFmtId="0" fontId="5" fillId="0" borderId="21" xfId="2721" applyNumberFormat="1" applyFont="1" applyFill="1" applyBorder="1" applyAlignment="1">
      <alignment horizontal="left" vertical="center" wrapText="1"/>
      <protection/>
    </xf>
    <xf numFmtId="0" fontId="5" fillId="0" borderId="22" xfId="2878" applyFont="1" applyFill="1" applyBorder="1" applyAlignment="1">
      <alignment horizontal="center" vertical="center" wrapText="1"/>
      <protection/>
    </xf>
    <xf numFmtId="0" fontId="2" fillId="0" borderId="23" xfId="2879" applyFont="1" applyFill="1" applyBorder="1">
      <alignment/>
      <protection/>
    </xf>
    <xf numFmtId="0" fontId="2" fillId="0" borderId="23" xfId="2879" applyFont="1" applyFill="1" applyBorder="1" applyAlignment="1">
      <alignment horizontal="center"/>
      <protection/>
    </xf>
    <xf numFmtId="0" fontId="2" fillId="0" borderId="29" xfId="2879" applyFont="1" applyFill="1" applyBorder="1">
      <alignment/>
      <protection/>
    </xf>
    <xf numFmtId="0" fontId="2" fillId="0" borderId="29" xfId="2879" applyFont="1" applyFill="1" applyBorder="1" applyAlignment="1">
      <alignment horizontal="center"/>
      <protection/>
    </xf>
    <xf numFmtId="0" fontId="3" fillId="0" borderId="19" xfId="2879" applyFont="1" applyFill="1" applyBorder="1" applyAlignment="1">
      <alignment vertical="center"/>
      <protection/>
    </xf>
    <xf numFmtId="0" fontId="3" fillId="0" borderId="19" xfId="2879" applyFont="1" applyFill="1" applyBorder="1" applyAlignment="1" quotePrefix="1">
      <alignment horizontal="center" vertical="center"/>
      <protection/>
    </xf>
    <xf numFmtId="0" fontId="3" fillId="0" borderId="19" xfId="2879" applyFont="1" applyFill="1" applyBorder="1" applyAlignment="1">
      <alignment horizontal="center" vertical="center"/>
      <protection/>
    </xf>
    <xf numFmtId="0" fontId="5" fillId="0" borderId="19" xfId="2702" applyFont="1" applyBorder="1" applyAlignment="1">
      <alignment horizontal="center" vertical="center" wrapText="1"/>
      <protection/>
    </xf>
    <xf numFmtId="0" fontId="19" fillId="0" borderId="19" xfId="2702" applyFont="1" applyBorder="1" applyAlignment="1">
      <alignment horizontal="center" vertical="center" wrapText="1"/>
      <protection/>
    </xf>
    <xf numFmtId="0" fontId="10" fillId="0" borderId="0" xfId="2634" applyFont="1" applyAlignment="1" applyProtection="1">
      <alignment wrapText="1"/>
      <protection/>
    </xf>
    <xf numFmtId="0" fontId="81" fillId="0" borderId="0" xfId="0" applyFont="1" applyAlignment="1">
      <alignment/>
    </xf>
    <xf numFmtId="0" fontId="84" fillId="0" borderId="0" xfId="2634" applyFont="1" applyAlignment="1" applyProtection="1">
      <alignment horizontal="justify"/>
      <protection/>
    </xf>
    <xf numFmtId="0" fontId="12" fillId="0" borderId="0" xfId="2702" applyFont="1" applyAlignment="1">
      <alignment horizontal="center" vertical="top" wrapText="1"/>
      <protection/>
    </xf>
    <xf numFmtId="0" fontId="8" fillId="0" borderId="0" xfId="2702" applyFont="1" applyAlignment="1">
      <alignment horizontal="center" vertical="top" wrapText="1"/>
      <protection/>
    </xf>
    <xf numFmtId="3" fontId="5" fillId="0" borderId="20" xfId="2879" applyNumberFormat="1" applyFont="1" applyBorder="1" applyAlignment="1">
      <alignment vertical="center" wrapText="1"/>
      <protection/>
    </xf>
    <xf numFmtId="3" fontId="5" fillId="0" borderId="21" xfId="2879" applyNumberFormat="1" applyFont="1" applyBorder="1" applyAlignment="1">
      <alignment vertical="center" wrapText="1"/>
      <protection/>
    </xf>
    <xf numFmtId="3" fontId="19" fillId="0" borderId="21" xfId="2879" applyNumberFormat="1" applyFont="1" applyBorder="1" applyAlignment="1">
      <alignment vertical="center" wrapText="1"/>
      <protection/>
    </xf>
    <xf numFmtId="3" fontId="19" fillId="0" borderId="21" xfId="2243" applyNumberFormat="1" applyFont="1" applyFill="1" applyBorder="1" applyAlignment="1">
      <alignment vertical="center" wrapText="1"/>
    </xf>
    <xf numFmtId="3" fontId="19" fillId="0" borderId="21" xfId="2213" applyNumberFormat="1" applyFont="1" applyFill="1" applyBorder="1" applyAlignment="1">
      <alignment vertical="center" wrapText="1"/>
    </xf>
    <xf numFmtId="3" fontId="5" fillId="0" borderId="21" xfId="2213" applyNumberFormat="1" applyFont="1" applyFill="1" applyBorder="1" applyAlignment="1">
      <alignment vertical="center" wrapText="1"/>
    </xf>
    <xf numFmtId="3" fontId="19" fillId="0" borderId="27" xfId="2213" applyNumberFormat="1" applyFont="1" applyFill="1" applyBorder="1" applyAlignment="1">
      <alignment vertical="center" wrapText="1"/>
    </xf>
    <xf numFmtId="3" fontId="5" fillId="0" borderId="27" xfId="2879" applyNumberFormat="1" applyFont="1" applyBorder="1" applyAlignment="1">
      <alignment vertical="center" wrapText="1"/>
      <protection/>
    </xf>
    <xf numFmtId="3" fontId="18" fillId="0" borderId="21" xfId="2879" applyNumberFormat="1" applyFont="1" applyBorder="1" applyAlignment="1">
      <alignment vertical="center" wrapText="1"/>
      <protection/>
    </xf>
    <xf numFmtId="3" fontId="19" fillId="0" borderId="22" xfId="2213" applyNumberFormat="1" applyFont="1" applyFill="1" applyBorder="1" applyAlignment="1">
      <alignment vertical="center" wrapText="1"/>
    </xf>
    <xf numFmtId="3" fontId="5" fillId="0" borderId="22" xfId="2243" applyNumberFormat="1" applyFont="1" applyFill="1" applyBorder="1" applyAlignment="1">
      <alignment vertical="center" wrapText="1"/>
    </xf>
    <xf numFmtId="3" fontId="5" fillId="0" borderId="20" xfId="2243" applyNumberFormat="1" applyFont="1" applyFill="1" applyBorder="1" applyAlignment="1">
      <alignment horizontal="right" vertical="center" wrapText="1"/>
    </xf>
    <xf numFmtId="3" fontId="5" fillId="0" borderId="21" xfId="2243" applyNumberFormat="1" applyFont="1" applyFill="1" applyBorder="1" applyAlignment="1">
      <alignment horizontal="right" vertical="center" wrapText="1"/>
    </xf>
    <xf numFmtId="3" fontId="19" fillId="0" borderId="21" xfId="2243" applyNumberFormat="1" applyFont="1" applyFill="1" applyBorder="1" applyAlignment="1">
      <alignment horizontal="right" vertical="center" wrapText="1"/>
    </xf>
    <xf numFmtId="3" fontId="19" fillId="0" borderId="27" xfId="2243" applyNumberFormat="1" applyFont="1" applyFill="1" applyBorder="1" applyAlignment="1">
      <alignment horizontal="right" vertical="center" wrapText="1"/>
    </xf>
    <xf numFmtId="3" fontId="19" fillId="0" borderId="27" xfId="2243" applyNumberFormat="1" applyFont="1" applyFill="1" applyBorder="1" applyAlignment="1">
      <alignment vertical="center" wrapText="1"/>
    </xf>
    <xf numFmtId="3" fontId="5" fillId="0" borderId="22" xfId="2243" applyNumberFormat="1" applyFont="1" applyFill="1" applyBorder="1" applyAlignment="1">
      <alignment horizontal="right" vertical="center" wrapText="1"/>
    </xf>
    <xf numFmtId="0" fontId="6" fillId="0" borderId="0" xfId="2698" applyFont="1" applyAlignment="1">
      <alignment horizontal="center" vertical="top" wrapText="1"/>
      <protection/>
    </xf>
    <xf numFmtId="0" fontId="6" fillId="0" borderId="0" xfId="0" applyFont="1" applyAlignment="1">
      <alignment horizontal="center"/>
    </xf>
    <xf numFmtId="3" fontId="5" fillId="0" borderId="20" xfId="2721" applyNumberFormat="1" applyFont="1" applyFill="1" applyBorder="1" applyAlignment="1">
      <alignment vertical="center" wrapText="1"/>
      <protection/>
    </xf>
    <xf numFmtId="166" fontId="5" fillId="0" borderId="20" xfId="2721" applyNumberFormat="1" applyFont="1" applyFill="1" applyBorder="1" applyAlignment="1">
      <alignment vertical="center" wrapText="1"/>
      <protection/>
    </xf>
    <xf numFmtId="3" fontId="5" fillId="0" borderId="21" xfId="2721" applyNumberFormat="1" applyFont="1" applyFill="1" applyBorder="1" applyAlignment="1">
      <alignment vertical="center" wrapText="1"/>
      <protection/>
    </xf>
    <xf numFmtId="166" fontId="5" fillId="0" borderId="21" xfId="2721" applyNumberFormat="1" applyFont="1" applyFill="1" applyBorder="1" applyAlignment="1">
      <alignment vertical="center" wrapText="1"/>
      <protection/>
    </xf>
    <xf numFmtId="3" fontId="5" fillId="0" borderId="21" xfId="2242" applyNumberFormat="1" applyFont="1" applyFill="1" applyBorder="1" applyAlignment="1">
      <alignment vertical="center" wrapText="1"/>
    </xf>
    <xf numFmtId="3" fontId="19" fillId="0" borderId="21" xfId="2242" applyNumberFormat="1" applyFont="1" applyFill="1" applyBorder="1" applyAlignment="1">
      <alignment vertical="center" wrapText="1"/>
    </xf>
    <xf numFmtId="166" fontId="19" fillId="0" borderId="21" xfId="2878" applyNumberFormat="1" applyFont="1" applyFill="1" applyBorder="1" applyAlignment="1">
      <alignment vertical="center" wrapText="1"/>
      <protection/>
    </xf>
    <xf numFmtId="3" fontId="6" fillId="0" borderId="21" xfId="2242" applyNumberFormat="1" applyFont="1" applyFill="1" applyBorder="1" applyAlignment="1">
      <alignment vertical="center" wrapText="1"/>
    </xf>
    <xf numFmtId="166" fontId="6" fillId="0" borderId="21" xfId="2878" applyNumberFormat="1" applyFont="1" applyFill="1" applyBorder="1" applyAlignment="1">
      <alignment vertical="center" wrapText="1"/>
      <protection/>
    </xf>
    <xf numFmtId="3" fontId="19" fillId="0" borderId="21" xfId="2721" applyNumberFormat="1" applyFont="1" applyFill="1" applyBorder="1" applyAlignment="1">
      <alignment vertical="center" wrapText="1"/>
      <protection/>
    </xf>
    <xf numFmtId="3" fontId="19" fillId="0" borderId="21" xfId="2878" applyNumberFormat="1" applyFont="1" applyFill="1" applyBorder="1" applyAlignment="1">
      <alignment vertical="center" wrapText="1"/>
      <protection/>
    </xf>
    <xf numFmtId="3" fontId="33" fillId="0" borderId="21" xfId="2721" applyNumberFormat="1" applyFont="1" applyFill="1" applyBorder="1" applyAlignment="1">
      <alignment vertical="center" wrapText="1"/>
      <protection/>
    </xf>
    <xf numFmtId="3" fontId="5" fillId="0" borderId="21" xfId="2878" applyNumberFormat="1" applyFont="1" applyFill="1" applyBorder="1" applyAlignment="1">
      <alignment vertical="center" wrapText="1"/>
      <protection/>
    </xf>
    <xf numFmtId="166" fontId="5" fillId="0" borderId="21" xfId="2878" applyNumberFormat="1" applyFont="1" applyFill="1" applyBorder="1" applyAlignment="1">
      <alignment vertical="center" wrapText="1"/>
      <protection/>
    </xf>
    <xf numFmtId="3" fontId="6" fillId="0" borderId="21" xfId="2721" applyNumberFormat="1" applyFont="1" applyFill="1" applyBorder="1" applyAlignment="1">
      <alignment vertical="center" wrapText="1"/>
      <protection/>
    </xf>
    <xf numFmtId="3" fontId="6" fillId="0" borderId="21" xfId="2878" applyNumberFormat="1" applyFont="1" applyFill="1" applyBorder="1" applyAlignment="1">
      <alignment vertical="center" wrapText="1"/>
      <protection/>
    </xf>
    <xf numFmtId="166" fontId="6" fillId="0" borderId="21" xfId="2721" applyNumberFormat="1" applyFont="1" applyFill="1" applyBorder="1" applyAlignment="1">
      <alignment vertical="center" wrapText="1"/>
      <protection/>
    </xf>
    <xf numFmtId="166" fontId="83" fillId="0" borderId="21" xfId="2721" applyNumberFormat="1" applyFont="1" applyFill="1" applyBorder="1" applyAlignment="1">
      <alignment vertical="center" wrapText="1"/>
      <protection/>
    </xf>
    <xf numFmtId="166" fontId="19" fillId="0" borderId="21" xfId="2721" applyNumberFormat="1" applyFont="1" applyFill="1" applyBorder="1" applyAlignment="1">
      <alignment vertical="center" wrapText="1"/>
      <protection/>
    </xf>
    <xf numFmtId="3" fontId="5" fillId="0" borderId="22" xfId="2878" applyNumberFormat="1" applyFont="1" applyFill="1" applyBorder="1" applyAlignment="1">
      <alignment vertical="center" wrapText="1"/>
      <protection/>
    </xf>
    <xf numFmtId="3" fontId="19" fillId="0" borderId="22" xfId="2878" applyNumberFormat="1" applyFont="1" applyFill="1" applyBorder="1" applyAlignment="1">
      <alignment vertical="center" wrapText="1"/>
      <protection/>
    </xf>
    <xf numFmtId="166" fontId="19" fillId="0" borderId="22" xfId="2878" applyNumberFormat="1" applyFont="1" applyFill="1" applyBorder="1" applyAlignment="1">
      <alignment vertical="center" wrapText="1"/>
      <protection/>
    </xf>
    <xf numFmtId="0" fontId="16" fillId="0" borderId="0" xfId="0" applyFont="1" applyFill="1" applyAlignment="1">
      <alignment horizontal="center"/>
    </xf>
    <xf numFmtId="0" fontId="19" fillId="0" borderId="19" xfId="2755" applyFont="1" applyFill="1" applyBorder="1" applyAlignment="1">
      <alignment horizontal="center" vertical="center" wrapText="1"/>
      <protection/>
    </xf>
    <xf numFmtId="0" fontId="25" fillId="36" borderId="21" xfId="0" applyFont="1" applyFill="1" applyBorder="1" applyAlignment="1">
      <alignment vertical="center" wrapText="1"/>
    </xf>
    <xf numFmtId="0" fontId="68" fillId="0" borderId="0" xfId="0" applyFont="1" applyAlignment="1">
      <alignment/>
    </xf>
    <xf numFmtId="244" fontId="5" fillId="36" borderId="20" xfId="2193" applyNumberFormat="1" applyFont="1" applyFill="1" applyBorder="1" applyAlignment="1">
      <alignment horizontal="right" vertical="center" wrapText="1"/>
    </xf>
    <xf numFmtId="244" fontId="19" fillId="36" borderId="21" xfId="2193" applyNumberFormat="1" applyFont="1" applyFill="1" applyBorder="1" applyAlignment="1">
      <alignment horizontal="right" vertical="center" wrapText="1"/>
    </xf>
    <xf numFmtId="244" fontId="19" fillId="36" borderId="21" xfId="2226" applyNumberFormat="1" applyFont="1" applyFill="1" applyBorder="1" applyAlignment="1">
      <alignment horizontal="right" vertical="center" wrapText="1"/>
    </xf>
    <xf numFmtId="244" fontId="19" fillId="36" borderId="21" xfId="0" applyNumberFormat="1" applyFont="1" applyFill="1" applyBorder="1" applyAlignment="1">
      <alignment horizontal="right" vertical="center" wrapText="1"/>
    </xf>
    <xf numFmtId="244" fontId="25" fillId="36" borderId="21" xfId="2193" applyNumberFormat="1" applyFont="1" applyFill="1" applyBorder="1" applyAlignment="1">
      <alignment horizontal="right" vertical="center" wrapText="1"/>
    </xf>
    <xf numFmtId="244" fontId="19" fillId="36" borderId="21" xfId="2223" applyNumberFormat="1" applyFont="1" applyFill="1" applyBorder="1" applyAlignment="1">
      <alignment horizontal="right" vertical="center" wrapText="1"/>
    </xf>
    <xf numFmtId="244" fontId="19" fillId="36" borderId="21" xfId="2865" applyNumberFormat="1" applyFont="1" applyFill="1" applyBorder="1" applyAlignment="1">
      <alignment horizontal="right" vertical="center" wrapText="1"/>
      <protection/>
    </xf>
    <xf numFmtId="244" fontId="19" fillId="36" borderId="22" xfId="2216" applyNumberFormat="1" applyFont="1" applyFill="1" applyBorder="1" applyAlignment="1">
      <alignment horizontal="right" vertical="center" wrapText="1"/>
    </xf>
    <xf numFmtId="244" fontId="19" fillId="36" borderId="22" xfId="2193" applyNumberFormat="1" applyFont="1" applyFill="1" applyBorder="1" applyAlignment="1">
      <alignment horizontal="right" vertical="center" wrapText="1"/>
    </xf>
    <xf numFmtId="0" fontId="5" fillId="0" borderId="27" xfId="2707" applyFont="1" applyBorder="1" applyAlignment="1">
      <alignment horizontal="center" vertical="center" wrapText="1"/>
      <protection/>
    </xf>
    <xf numFmtId="0" fontId="23" fillId="0" borderId="27" xfId="0" applyFont="1" applyBorder="1" applyAlignment="1">
      <alignment horizontal="center" vertical="center" wrapText="1"/>
    </xf>
    <xf numFmtId="0" fontId="19" fillId="0" borderId="19" xfId="2707" applyFont="1" applyFill="1" applyBorder="1" applyAlignment="1">
      <alignment horizontal="center" vertical="center" wrapText="1"/>
      <protection/>
    </xf>
    <xf numFmtId="3" fontId="19" fillId="0" borderId="19" xfId="2707" applyNumberFormat="1" applyFont="1" applyFill="1" applyBorder="1" applyAlignment="1">
      <alignment horizontal="center" vertical="center" wrapText="1"/>
      <protection/>
    </xf>
    <xf numFmtId="165" fontId="23" fillId="0" borderId="27" xfId="2193" applyNumberFormat="1" applyFont="1" applyBorder="1" applyAlignment="1">
      <alignment horizontal="right" vertical="center" wrapText="1"/>
    </xf>
    <xf numFmtId="241" fontId="23" fillId="0" borderId="27" xfId="2193" applyNumberFormat="1" applyFont="1" applyBorder="1" applyAlignment="1">
      <alignment horizontal="right" vertical="center" wrapText="1"/>
    </xf>
    <xf numFmtId="165" fontId="25" fillId="0" borderId="21" xfId="2193" applyNumberFormat="1" applyFont="1" applyBorder="1" applyAlignment="1">
      <alignment horizontal="right" vertical="center" wrapText="1"/>
    </xf>
    <xf numFmtId="241" fontId="25" fillId="0" borderId="21" xfId="2193" applyNumberFormat="1" applyFont="1" applyBorder="1" applyAlignment="1">
      <alignment horizontal="right" vertical="center" wrapText="1"/>
    </xf>
    <xf numFmtId="165" fontId="25" fillId="0" borderId="22" xfId="2193" applyNumberFormat="1" applyFont="1" applyBorder="1" applyAlignment="1">
      <alignment horizontal="right" vertical="center" wrapText="1"/>
    </xf>
    <xf numFmtId="241" fontId="25" fillId="0" borderId="22" xfId="2193" applyNumberFormat="1" applyFont="1" applyBorder="1" applyAlignment="1">
      <alignment horizontal="right" vertical="center" wrapText="1"/>
    </xf>
    <xf numFmtId="0" fontId="0" fillId="0" borderId="0" xfId="0" applyAlignment="1">
      <alignment horizontal="center"/>
    </xf>
    <xf numFmtId="0" fontId="5" fillId="0" borderId="21" xfId="2698" applyFont="1" applyBorder="1" applyAlignment="1">
      <alignment horizontal="center" vertical="center" wrapText="1"/>
      <protection/>
    </xf>
    <xf numFmtId="0" fontId="19" fillId="0" borderId="21" xfId="2698" applyFont="1" applyBorder="1" applyAlignment="1">
      <alignment horizontal="center" vertical="center" wrapText="1"/>
      <protection/>
    </xf>
    <xf numFmtId="0" fontId="19" fillId="0" borderId="22" xfId="2698" applyFont="1" applyBorder="1" applyAlignment="1">
      <alignment horizontal="center" vertical="center" wrapText="1"/>
      <protection/>
    </xf>
    <xf numFmtId="165" fontId="5" fillId="0" borderId="20" xfId="2236" applyNumberFormat="1" applyFont="1" applyFill="1" applyBorder="1" applyAlignment="1">
      <alignment horizontal="right" vertical="center" wrapText="1"/>
    </xf>
    <xf numFmtId="165" fontId="5" fillId="0" borderId="21" xfId="2236" applyNumberFormat="1" applyFont="1" applyFill="1" applyBorder="1" applyAlignment="1">
      <alignment horizontal="right" vertical="center" wrapText="1"/>
    </xf>
    <xf numFmtId="165" fontId="19" fillId="0" borderId="21" xfId="2236" applyNumberFormat="1" applyFont="1" applyFill="1" applyBorder="1" applyAlignment="1">
      <alignment horizontal="right" vertical="center" wrapText="1"/>
    </xf>
    <xf numFmtId="165" fontId="76" fillId="0" borderId="21" xfId="2236" applyNumberFormat="1" applyFont="1" applyFill="1" applyBorder="1" applyAlignment="1">
      <alignment horizontal="right" vertical="center" wrapText="1"/>
    </xf>
    <xf numFmtId="3" fontId="5" fillId="0" borderId="21" xfId="2236" applyNumberFormat="1" applyFont="1" applyFill="1" applyBorder="1" applyAlignment="1">
      <alignment horizontal="right" vertical="center" wrapText="1"/>
    </xf>
    <xf numFmtId="165" fontId="19" fillId="0" borderId="22" xfId="2236" applyNumberFormat="1" applyFont="1" applyFill="1" applyBorder="1" applyAlignment="1">
      <alignment horizontal="right" vertical="center" wrapText="1"/>
    </xf>
    <xf numFmtId="0" fontId="79" fillId="0" borderId="0" xfId="0" applyFont="1" applyAlignment="1">
      <alignment horizontal="center"/>
    </xf>
    <xf numFmtId="0" fontId="3" fillId="0" borderId="0" xfId="2698" applyFont="1" applyAlignment="1">
      <alignment horizontal="center"/>
      <protection/>
    </xf>
    <xf numFmtId="0" fontId="19" fillId="0" borderId="0" xfId="2698" applyFont="1" applyAlignment="1">
      <alignment horizontal="center"/>
      <protection/>
    </xf>
    <xf numFmtId="0" fontId="5" fillId="0" borderId="21" xfId="2698" applyFont="1" applyBorder="1" applyAlignment="1">
      <alignment horizontal="justify" vertical="center" wrapText="1"/>
      <protection/>
    </xf>
    <xf numFmtId="165" fontId="5" fillId="0" borderId="21" xfId="2234" applyNumberFormat="1" applyFont="1" applyBorder="1" applyAlignment="1">
      <alignment horizontal="right" vertical="center" wrapText="1"/>
    </xf>
    <xf numFmtId="0" fontId="19" fillId="0" borderId="21" xfId="2698" applyFont="1" applyBorder="1" applyAlignment="1">
      <alignment horizontal="justify" vertical="center" wrapText="1"/>
      <protection/>
    </xf>
    <xf numFmtId="165" fontId="19" fillId="0" borderId="21" xfId="2234" applyNumberFormat="1" applyFont="1" applyBorder="1" applyAlignment="1">
      <alignment horizontal="right" vertical="center" wrapText="1"/>
    </xf>
    <xf numFmtId="165" fontId="19" fillId="0" borderId="21" xfId="2234" applyNumberFormat="1" applyFont="1" applyFill="1" applyBorder="1" applyAlignment="1">
      <alignment horizontal="right" vertical="center" wrapText="1"/>
    </xf>
    <xf numFmtId="0" fontId="19" fillId="0" borderId="22" xfId="2698" applyFont="1" applyBorder="1" applyAlignment="1">
      <alignment horizontal="justify" vertical="center" wrapText="1"/>
      <protection/>
    </xf>
    <xf numFmtId="165" fontId="19" fillId="0" borderId="22" xfId="2234" applyNumberFormat="1" applyFont="1" applyBorder="1" applyAlignment="1">
      <alignment horizontal="right" vertical="center" wrapText="1"/>
    </xf>
    <xf numFmtId="0" fontId="19" fillId="0" borderId="21" xfId="2761" applyFont="1" applyBorder="1" applyAlignment="1">
      <alignment vertical="center" wrapText="1"/>
      <protection/>
    </xf>
    <xf numFmtId="0" fontId="6" fillId="0" borderId="21" xfId="2761" applyFont="1" applyBorder="1" applyAlignment="1">
      <alignment vertical="center" wrapText="1"/>
      <protection/>
    </xf>
    <xf numFmtId="0" fontId="5" fillId="0" borderId="22" xfId="2761" applyFont="1" applyBorder="1" applyAlignment="1">
      <alignment vertical="center" wrapText="1"/>
      <protection/>
    </xf>
    <xf numFmtId="0" fontId="19" fillId="0" borderId="20" xfId="2761" applyFont="1" applyBorder="1" applyAlignment="1">
      <alignment horizontal="right" vertical="center" wrapText="1"/>
      <protection/>
    </xf>
    <xf numFmtId="0" fontId="19" fillId="0" borderId="21" xfId="2761" applyFont="1" applyBorder="1" applyAlignment="1">
      <alignment horizontal="right" vertical="center" wrapText="1"/>
      <protection/>
    </xf>
    <xf numFmtId="0" fontId="6" fillId="0" borderId="21" xfId="2761" applyFont="1" applyBorder="1" applyAlignment="1">
      <alignment horizontal="right" vertical="center" wrapText="1"/>
      <protection/>
    </xf>
    <xf numFmtId="164" fontId="5" fillId="0" borderId="22" xfId="2235" applyNumberFormat="1" applyFont="1" applyFill="1" applyBorder="1" applyAlignment="1">
      <alignment horizontal="right" vertical="center" wrapText="1"/>
    </xf>
    <xf numFmtId="0" fontId="5" fillId="0" borderId="22" xfId="2761" applyFont="1" applyBorder="1" applyAlignment="1">
      <alignment horizontal="right" vertical="center" wrapText="1"/>
      <protection/>
    </xf>
    <xf numFmtId="168" fontId="5" fillId="36" borderId="19" xfId="2235" applyNumberFormat="1" applyFont="1" applyFill="1" applyBorder="1" applyAlignment="1">
      <alignment horizontal="center" vertical="center" wrapText="1"/>
    </xf>
    <xf numFmtId="168" fontId="5" fillId="0" borderId="19" xfId="2235" applyNumberFormat="1" applyFont="1" applyFill="1" applyBorder="1" applyAlignment="1">
      <alignment horizontal="center" vertical="center" wrapText="1"/>
    </xf>
    <xf numFmtId="168" fontId="5" fillId="36" borderId="19" xfId="2235" applyNumberFormat="1" applyFont="1" applyFill="1" applyBorder="1" applyAlignment="1">
      <alignment horizontal="right" vertical="center" wrapText="1"/>
    </xf>
    <xf numFmtId="168" fontId="5" fillId="35" borderId="19" xfId="2235" applyNumberFormat="1" applyFont="1" applyFill="1" applyBorder="1" applyAlignment="1">
      <alignment horizontal="center" vertical="center" wrapText="1"/>
    </xf>
    <xf numFmtId="0" fontId="5" fillId="0" borderId="20" xfId="2761" applyFont="1" applyBorder="1" applyAlignment="1">
      <alignment horizontal="center" vertical="center" wrapText="1"/>
      <protection/>
    </xf>
    <xf numFmtId="0" fontId="5" fillId="0" borderId="20" xfId="2761" applyFont="1" applyBorder="1" applyAlignment="1">
      <alignment vertical="center" wrapText="1"/>
      <protection/>
    </xf>
    <xf numFmtId="0" fontId="5" fillId="0" borderId="21" xfId="2761" applyFont="1" applyBorder="1" applyAlignment="1">
      <alignment horizontal="center" vertical="center" wrapText="1"/>
      <protection/>
    </xf>
    <xf numFmtId="0" fontId="5" fillId="0" borderId="21" xfId="2761" applyFont="1" applyBorder="1" applyAlignment="1">
      <alignment vertical="center" wrapText="1"/>
      <protection/>
    </xf>
    <xf numFmtId="0" fontId="3" fillId="36" borderId="0" xfId="2761" applyFont="1" applyFill="1">
      <alignment/>
      <protection/>
    </xf>
    <xf numFmtId="0" fontId="5" fillId="0" borderId="21" xfId="2761" applyFont="1" applyBorder="1" applyAlignment="1">
      <alignment horizontal="right" vertical="center" wrapText="1"/>
      <protection/>
    </xf>
    <xf numFmtId="168" fontId="2" fillId="0" borderId="20" xfId="2240" applyNumberFormat="1" applyFont="1" applyFill="1" applyBorder="1" applyAlignment="1">
      <alignment horizontal="right" vertical="center" wrapText="1"/>
    </xf>
    <xf numFmtId="168" fontId="3" fillId="0" borderId="21" xfId="2240" applyNumberFormat="1" applyFont="1" applyFill="1" applyBorder="1" applyAlignment="1">
      <alignment horizontal="right" vertical="center" wrapText="1"/>
    </xf>
    <xf numFmtId="165" fontId="3" fillId="0" borderId="21" xfId="2236" applyNumberFormat="1" applyFont="1" applyFill="1" applyBorder="1" applyAlignment="1">
      <alignment horizontal="right" vertical="center" wrapText="1"/>
    </xf>
    <xf numFmtId="3" fontId="3" fillId="0" borderId="21" xfId="2881" applyNumberFormat="1" applyFont="1" applyBorder="1" applyAlignment="1">
      <alignment horizontal="right" vertical="center" wrapText="1"/>
      <protection/>
    </xf>
    <xf numFmtId="168" fontId="2" fillId="0" borderId="21" xfId="2240" applyNumberFormat="1" applyFont="1" applyFill="1" applyBorder="1" applyAlignment="1">
      <alignment horizontal="right" vertical="center" wrapText="1"/>
    </xf>
    <xf numFmtId="168" fontId="3" fillId="0" borderId="22" xfId="2240" applyNumberFormat="1" applyFont="1" applyFill="1" applyBorder="1" applyAlignment="1">
      <alignment horizontal="right" vertical="center" wrapText="1"/>
    </xf>
    <xf numFmtId="165" fontId="3" fillId="0" borderId="22" xfId="2236" applyNumberFormat="1" applyFont="1" applyFill="1" applyBorder="1" applyAlignment="1">
      <alignment horizontal="right" vertical="center" wrapText="1"/>
    </xf>
    <xf numFmtId="0" fontId="5" fillId="0" borderId="0" xfId="2879" applyFont="1" applyFill="1" applyBorder="1" applyAlignment="1">
      <alignment/>
      <protection/>
    </xf>
    <xf numFmtId="0" fontId="16" fillId="0" borderId="20" xfId="2703" applyFont="1" applyBorder="1" applyAlignment="1">
      <alignment horizontal="center" vertical="center" wrapText="1"/>
      <protection/>
    </xf>
    <xf numFmtId="3" fontId="16" fillId="0" borderId="20" xfId="2703" applyNumberFormat="1" applyFont="1" applyBorder="1" applyAlignment="1">
      <alignment horizontal="right" vertical="center" wrapText="1"/>
      <protection/>
    </xf>
    <xf numFmtId="3" fontId="5" fillId="0" borderId="20" xfId="2702" applyNumberFormat="1" applyFont="1" applyBorder="1" applyAlignment="1">
      <alignment horizontal="right" vertical="center" wrapText="1"/>
      <protection/>
    </xf>
    <xf numFmtId="241" fontId="5" fillId="0" borderId="20" xfId="2193" applyNumberFormat="1" applyFont="1" applyBorder="1" applyAlignment="1">
      <alignment horizontal="right" vertical="center" wrapText="1"/>
    </xf>
    <xf numFmtId="0" fontId="19" fillId="0" borderId="21" xfId="2703" applyFont="1" applyBorder="1" applyAlignment="1">
      <alignment horizontal="center" vertical="center" wrapText="1"/>
      <protection/>
    </xf>
    <xf numFmtId="0" fontId="19" fillId="0" borderId="21" xfId="2703" applyFont="1" applyBorder="1" applyAlignment="1">
      <alignment horizontal="justify" vertical="center" wrapText="1"/>
      <protection/>
    </xf>
    <xf numFmtId="3" fontId="19" fillId="0" borderId="21" xfId="2703" applyNumberFormat="1" applyFont="1" applyBorder="1" applyAlignment="1">
      <alignment horizontal="right" vertical="center" wrapText="1"/>
      <protection/>
    </xf>
    <xf numFmtId="3" fontId="19" fillId="0" borderId="21" xfId="2702" applyNumberFormat="1" applyFont="1" applyBorder="1" applyAlignment="1">
      <alignment horizontal="right" vertical="center" wrapText="1"/>
      <protection/>
    </xf>
    <xf numFmtId="166" fontId="19" fillId="0" borderId="21" xfId="2702" applyNumberFormat="1" applyFont="1" applyBorder="1" applyAlignment="1">
      <alignment horizontal="right" vertical="center" wrapText="1"/>
      <protection/>
    </xf>
    <xf numFmtId="0" fontId="19" fillId="0" borderId="21" xfId="2634" applyFont="1" applyBorder="1" applyAlignment="1" applyProtection="1">
      <alignment vertical="center" wrapText="1"/>
      <protection/>
    </xf>
    <xf numFmtId="0" fontId="19" fillId="0" borderId="21" xfId="0" applyFont="1" applyBorder="1" applyAlignment="1">
      <alignment vertical="center" wrapText="1"/>
    </xf>
    <xf numFmtId="0" fontId="19" fillId="0" borderId="21" xfId="0" applyFont="1" applyBorder="1" applyAlignment="1">
      <alignment horizontal="justify" vertical="center" wrapText="1"/>
    </xf>
    <xf numFmtId="0" fontId="19" fillId="0" borderId="22" xfId="2703" applyFont="1" applyBorder="1" applyAlignment="1">
      <alignment horizontal="center" vertical="center" wrapText="1"/>
      <protection/>
    </xf>
    <xf numFmtId="0" fontId="19" fillId="0" borderId="22" xfId="2703" applyFont="1" applyBorder="1" applyAlignment="1">
      <alignment horizontal="justify" vertical="center" wrapText="1"/>
      <protection/>
    </xf>
    <xf numFmtId="3" fontId="19" fillId="0" borderId="22" xfId="2703" applyNumberFormat="1" applyFont="1" applyBorder="1" applyAlignment="1">
      <alignment horizontal="right" vertical="center" wrapText="1"/>
      <protection/>
    </xf>
    <xf numFmtId="3" fontId="19" fillId="0" borderId="22" xfId="2702" applyNumberFormat="1" applyFont="1" applyBorder="1" applyAlignment="1">
      <alignment horizontal="right" vertical="center" wrapText="1"/>
      <protection/>
    </xf>
    <xf numFmtId="166" fontId="19" fillId="0" borderId="22" xfId="2702" applyNumberFormat="1" applyFont="1" applyBorder="1" applyAlignment="1">
      <alignment horizontal="right" vertical="center" wrapText="1"/>
      <protection/>
    </xf>
    <xf numFmtId="0" fontId="19" fillId="0" borderId="22" xfId="0" applyFont="1" applyBorder="1" applyAlignment="1">
      <alignment vertical="center" wrapText="1"/>
    </xf>
    <xf numFmtId="0" fontId="6" fillId="0" borderId="0" xfId="2702" applyFont="1" applyAlignment="1">
      <alignment horizontal="right"/>
      <protection/>
    </xf>
    <xf numFmtId="0" fontId="5" fillId="0" borderId="0" xfId="2702" applyFont="1" applyAlignment="1">
      <alignment vertical="top" wrapText="1"/>
      <protection/>
    </xf>
    <xf numFmtId="0" fontId="54" fillId="0" borderId="20" xfId="0" applyFont="1" applyBorder="1" applyAlignment="1">
      <alignment horizontal="center" vertical="center" wrapText="1"/>
    </xf>
    <xf numFmtId="0" fontId="54" fillId="0" borderId="20" xfId="0" applyFont="1" applyBorder="1" applyAlignment="1">
      <alignment vertical="center" wrapText="1"/>
    </xf>
    <xf numFmtId="0" fontId="54" fillId="0" borderId="21" xfId="0" applyFont="1" applyBorder="1" applyAlignment="1">
      <alignment horizontal="center" vertical="center" wrapText="1"/>
    </xf>
    <xf numFmtId="0" fontId="54" fillId="0" borderId="21" xfId="0" applyFont="1" applyBorder="1" applyAlignment="1">
      <alignment vertical="center" wrapText="1"/>
    </xf>
    <xf numFmtId="0" fontId="54" fillId="0" borderId="22" xfId="0" applyFont="1" applyBorder="1" applyAlignment="1">
      <alignment horizontal="center" vertical="center" wrapText="1"/>
    </xf>
    <xf numFmtId="0" fontId="54" fillId="0" borderId="22" xfId="0" applyFont="1" applyBorder="1" applyAlignment="1">
      <alignment vertical="center" wrapText="1"/>
    </xf>
    <xf numFmtId="0" fontId="16" fillId="0" borderId="19" xfId="0" applyFont="1" applyBorder="1" applyAlignment="1">
      <alignment horizontal="center" vertical="center" wrapText="1"/>
    </xf>
    <xf numFmtId="0" fontId="79" fillId="0" borderId="0" xfId="0" applyFont="1" applyAlignment="1">
      <alignment/>
    </xf>
    <xf numFmtId="165" fontId="54" fillId="0" borderId="20" xfId="2242" applyNumberFormat="1" applyFont="1" applyFill="1" applyBorder="1" applyAlignment="1">
      <alignment horizontal="right" vertical="center" wrapText="1"/>
    </xf>
    <xf numFmtId="241" fontId="54" fillId="0" borderId="20" xfId="2242" applyNumberFormat="1" applyFont="1" applyBorder="1" applyAlignment="1">
      <alignment horizontal="right" vertical="center" wrapText="1"/>
    </xf>
    <xf numFmtId="165" fontId="54" fillId="0" borderId="21" xfId="2242" applyNumberFormat="1" applyFont="1" applyFill="1" applyBorder="1" applyAlignment="1">
      <alignment horizontal="right" vertical="center" wrapText="1"/>
    </xf>
    <xf numFmtId="241" fontId="54" fillId="0" borderId="21" xfId="2242" applyNumberFormat="1" applyFont="1" applyBorder="1" applyAlignment="1">
      <alignment horizontal="right" vertical="center" wrapText="1"/>
    </xf>
    <xf numFmtId="165" fontId="54" fillId="0" borderId="22" xfId="2242" applyNumberFormat="1" applyFont="1" applyFill="1" applyBorder="1" applyAlignment="1">
      <alignment horizontal="right" vertical="center" wrapText="1"/>
    </xf>
    <xf numFmtId="241" fontId="54" fillId="0" borderId="22" xfId="2242" applyNumberFormat="1" applyFont="1" applyBorder="1" applyAlignment="1">
      <alignment horizontal="right" vertical="center" wrapText="1"/>
    </xf>
    <xf numFmtId="0" fontId="5" fillId="0" borderId="0" xfId="0" applyFont="1" applyFill="1" applyAlignment="1">
      <alignment/>
    </xf>
    <xf numFmtId="0" fontId="19" fillId="0" borderId="0" xfId="0" applyFont="1" applyFill="1" applyAlignment="1">
      <alignment/>
    </xf>
    <xf numFmtId="0" fontId="10" fillId="0" borderId="0" xfId="2866" applyFont="1" applyFill="1" applyBorder="1" applyAlignment="1">
      <alignment horizontal="center" vertical="top" readingOrder="1"/>
      <protection/>
    </xf>
    <xf numFmtId="0" fontId="1" fillId="0" borderId="0" xfId="2866" applyFont="1" applyFill="1" applyBorder="1" applyAlignment="1">
      <alignment horizontal="center" vertical="top" readingOrder="1"/>
      <protection/>
    </xf>
    <xf numFmtId="0" fontId="0" fillId="0" borderId="0" xfId="0" applyFill="1" applyAlignment="1">
      <alignment/>
    </xf>
    <xf numFmtId="0" fontId="3" fillId="0" borderId="0" xfId="0" applyFont="1" applyFill="1" applyAlignment="1">
      <alignment wrapText="1"/>
    </xf>
    <xf numFmtId="0" fontId="19" fillId="0" borderId="0" xfId="0" applyFont="1" applyFill="1" applyBorder="1" applyAlignment="1">
      <alignment horizontal="center" vertical="top" readingOrder="1"/>
    </xf>
    <xf numFmtId="0" fontId="6" fillId="0" borderId="0" xfId="0" applyFont="1" applyFill="1" applyBorder="1" applyAlignment="1">
      <alignment horizontal="right" vertical="center" wrapText="1" readingOrder="1"/>
    </xf>
    <xf numFmtId="0" fontId="3" fillId="0" borderId="0" xfId="0" applyFont="1" applyFill="1" applyBorder="1" applyAlignment="1">
      <alignment horizontal="center" vertical="top" readingOrder="1"/>
    </xf>
    <xf numFmtId="0" fontId="2" fillId="0" borderId="1" xfId="0" applyFont="1" applyFill="1" applyBorder="1" applyAlignment="1">
      <alignment horizontal="center" vertical="center" wrapText="1" readingOrder="1"/>
    </xf>
    <xf numFmtId="0" fontId="5" fillId="0" borderId="30" xfId="2871" applyFont="1" applyFill="1" applyBorder="1" applyAlignment="1">
      <alignment horizontal="center" vertical="center" wrapText="1"/>
      <protection/>
    </xf>
    <xf numFmtId="165" fontId="2" fillId="0" borderId="30" xfId="2213" applyNumberFormat="1" applyFont="1" applyFill="1" applyBorder="1" applyAlignment="1">
      <alignment vertical="center" wrapText="1"/>
    </xf>
    <xf numFmtId="0" fontId="2" fillId="0" borderId="0" xfId="0" applyFont="1" applyFill="1" applyBorder="1" applyAlignment="1">
      <alignment horizontal="center" vertical="top" readingOrder="1"/>
    </xf>
    <xf numFmtId="0" fontId="2" fillId="0" borderId="0" xfId="0" applyFont="1" applyFill="1" applyAlignment="1">
      <alignment wrapText="1"/>
    </xf>
    <xf numFmtId="0" fontId="19" fillId="0" borderId="21" xfId="2871" applyFont="1" applyFill="1" applyBorder="1" applyAlignment="1">
      <alignment horizontal="left" vertical="center" wrapText="1"/>
      <protection/>
    </xf>
    <xf numFmtId="0" fontId="19" fillId="0" borderId="21" xfId="2871" applyFont="1" applyFill="1" applyBorder="1" applyAlignment="1">
      <alignment horizontal="center" vertical="center" wrapText="1"/>
      <protection/>
    </xf>
    <xf numFmtId="165" fontId="3" fillId="0" borderId="21" xfId="2213" applyNumberFormat="1" applyFont="1" applyFill="1" applyBorder="1" applyAlignment="1">
      <alignment vertical="center" wrapText="1"/>
    </xf>
    <xf numFmtId="0" fontId="19" fillId="0" borderId="22" xfId="2871" applyFont="1" applyFill="1" applyBorder="1" applyAlignment="1">
      <alignment horizontal="center" vertical="center" wrapText="1"/>
      <protection/>
    </xf>
    <xf numFmtId="165" fontId="3" fillId="0" borderId="22" xfId="2213" applyNumberFormat="1" applyFont="1" applyFill="1" applyBorder="1" applyAlignment="1">
      <alignment vertical="center" wrapText="1"/>
    </xf>
    <xf numFmtId="0" fontId="12" fillId="0" borderId="0" xfId="2866" applyFont="1" applyFill="1" applyBorder="1" applyAlignment="1">
      <alignment horizontal="left" vertical="center" wrapText="1" readingOrder="1"/>
      <protection/>
    </xf>
    <xf numFmtId="0" fontId="5" fillId="0" borderId="0" xfId="2866" applyFont="1" applyFill="1" applyBorder="1" applyAlignment="1">
      <alignment horizontal="left" vertical="center" wrapText="1" readingOrder="1"/>
      <protection/>
    </xf>
    <xf numFmtId="0" fontId="87" fillId="0" borderId="0" xfId="2866" applyFont="1" applyFill="1" applyBorder="1" applyAlignment="1">
      <alignment horizontal="center" vertical="center" wrapText="1" readingOrder="1"/>
      <protection/>
    </xf>
    <xf numFmtId="0" fontId="87" fillId="0" borderId="0" xfId="2866" applyFont="1" applyFill="1" applyBorder="1" applyAlignment="1">
      <alignment vertical="center" wrapText="1" readingOrder="1"/>
      <protection/>
    </xf>
    <xf numFmtId="0" fontId="86" fillId="0" borderId="0" xfId="2866" applyFont="1" applyFill="1" applyBorder="1" applyAlignment="1">
      <alignment horizontal="center" vertical="center" wrapText="1" readingOrder="1"/>
      <protection/>
    </xf>
    <xf numFmtId="0" fontId="86" fillId="0" borderId="0" xfId="2866" applyFont="1" applyFill="1" applyBorder="1" applyAlignment="1">
      <alignment vertical="center" wrapText="1" readingOrder="1"/>
      <protection/>
    </xf>
    <xf numFmtId="0" fontId="5" fillId="0" borderId="0" xfId="0" applyFont="1" applyFill="1" applyAlignment="1">
      <alignment horizontal="center"/>
    </xf>
    <xf numFmtId="0" fontId="2" fillId="0" borderId="0" xfId="0" applyFont="1" applyFill="1" applyAlignment="1">
      <alignment horizontal="left" wrapText="1"/>
    </xf>
    <xf numFmtId="0" fontId="3" fillId="0" borderId="0" xfId="0" applyFont="1" applyFill="1" applyAlignment="1">
      <alignment horizontal="center" wrapText="1"/>
    </xf>
    <xf numFmtId="0" fontId="28" fillId="0" borderId="0" xfId="0" applyFont="1" applyFill="1" applyAlignment="1">
      <alignment/>
    </xf>
    <xf numFmtId="0" fontId="19" fillId="0" borderId="20" xfId="2698" applyFont="1" applyFill="1" applyBorder="1" applyAlignment="1">
      <alignment horizontal="center" vertical="center" wrapText="1"/>
      <protection/>
    </xf>
    <xf numFmtId="0" fontId="5" fillId="0" borderId="20" xfId="2698" applyFont="1" applyFill="1" applyBorder="1" applyAlignment="1">
      <alignment vertical="center" wrapText="1"/>
      <protection/>
    </xf>
    <xf numFmtId="3" fontId="23" fillId="0" borderId="20" xfId="0" applyNumberFormat="1" applyFont="1" applyFill="1" applyBorder="1" applyAlignment="1">
      <alignment horizontal="right" vertical="center" wrapText="1"/>
    </xf>
    <xf numFmtId="0" fontId="19" fillId="0" borderId="20" xfId="2698" applyFont="1" applyFill="1" applyBorder="1" applyAlignment="1">
      <alignment horizontal="right" vertical="center" wrapText="1"/>
      <protection/>
    </xf>
    <xf numFmtId="0" fontId="5" fillId="0" borderId="21" xfId="2698" applyFont="1" applyFill="1" applyBorder="1" applyAlignment="1">
      <alignment horizontal="center" vertical="center" wrapText="1"/>
      <protection/>
    </xf>
    <xf numFmtId="0" fontId="5" fillId="0" borderId="21" xfId="2698" applyFont="1" applyFill="1" applyBorder="1" applyAlignment="1">
      <alignment vertical="center" wrapText="1"/>
      <protection/>
    </xf>
    <xf numFmtId="3" fontId="25" fillId="0" borderId="21" xfId="0" applyNumberFormat="1" applyFont="1" applyFill="1" applyBorder="1" applyAlignment="1">
      <alignment horizontal="right" vertical="center" wrapText="1"/>
    </xf>
    <xf numFmtId="0" fontId="5" fillId="0" borderId="21" xfId="2698" applyFont="1" applyFill="1" applyBorder="1" applyAlignment="1">
      <alignment horizontal="right" vertical="center" wrapText="1"/>
      <protection/>
    </xf>
    <xf numFmtId="3" fontId="23" fillId="0" borderId="21" xfId="0" applyNumberFormat="1" applyFont="1" applyFill="1" applyBorder="1" applyAlignment="1">
      <alignment horizontal="right" vertical="center" wrapText="1"/>
    </xf>
    <xf numFmtId="0" fontId="28" fillId="0" borderId="0" xfId="0" applyFont="1" applyFill="1" applyAlignment="1">
      <alignment/>
    </xf>
    <xf numFmtId="0" fontId="19" fillId="0" borderId="21" xfId="2698" applyFont="1" applyFill="1" applyBorder="1" applyAlignment="1">
      <alignment horizontal="center" vertical="center" wrapText="1"/>
      <protection/>
    </xf>
    <xf numFmtId="0" fontId="19" fillId="0" borderId="21" xfId="2698" applyFont="1" applyFill="1" applyBorder="1" applyAlignment="1" quotePrefix="1">
      <alignment vertical="center" wrapText="1"/>
      <protection/>
    </xf>
    <xf numFmtId="3" fontId="25" fillId="0" borderId="21" xfId="0" applyNumberFormat="1" applyFont="1" applyFill="1" applyBorder="1" applyAlignment="1">
      <alignment horizontal="right" vertical="center" wrapText="1"/>
    </xf>
    <xf numFmtId="0" fontId="19" fillId="0" borderId="21" xfId="2698" applyFont="1" applyFill="1" applyBorder="1" applyAlignment="1">
      <alignment horizontal="right" vertical="center" wrapText="1"/>
      <protection/>
    </xf>
    <xf numFmtId="0" fontId="19" fillId="0" borderId="21" xfId="2731" applyFont="1" applyFill="1" applyBorder="1" applyAlignment="1" quotePrefix="1">
      <alignment vertical="center" wrapText="1"/>
      <protection/>
    </xf>
    <xf numFmtId="0" fontId="19" fillId="0" borderId="21" xfId="0" applyFont="1" applyFill="1" applyBorder="1" applyAlignment="1">
      <alignment vertical="center" wrapText="1"/>
    </xf>
    <xf numFmtId="0" fontId="19" fillId="0" borderId="21" xfId="2698" applyFont="1" applyFill="1" applyBorder="1" applyAlignment="1">
      <alignment vertical="center" wrapText="1"/>
      <protection/>
    </xf>
    <xf numFmtId="0" fontId="25" fillId="0" borderId="21" xfId="0" applyFont="1" applyFill="1" applyBorder="1" applyAlignment="1" quotePrefix="1">
      <alignment vertical="center" wrapText="1"/>
    </xf>
    <xf numFmtId="0" fontId="25" fillId="0" borderId="21" xfId="0" applyFont="1" applyFill="1" applyBorder="1" applyAlignment="1">
      <alignment vertical="center" wrapText="1"/>
    </xf>
    <xf numFmtId="3" fontId="19" fillId="0" borderId="21" xfId="0" applyNumberFormat="1" applyFont="1" applyFill="1" applyBorder="1" applyAlignment="1">
      <alignment horizontal="right" vertical="center" wrapText="1"/>
    </xf>
    <xf numFmtId="0" fontId="19" fillId="0" borderId="21" xfId="2866" applyFont="1" applyFill="1" applyBorder="1" applyAlignment="1" quotePrefix="1">
      <alignment vertical="center" wrapText="1"/>
      <protection/>
    </xf>
    <xf numFmtId="165" fontId="19" fillId="0" borderId="21" xfId="2866" applyNumberFormat="1" applyFont="1" applyFill="1" applyBorder="1" applyAlignment="1" quotePrefix="1">
      <alignment vertical="center" wrapText="1"/>
      <protection/>
    </xf>
    <xf numFmtId="0" fontId="76" fillId="0" borderId="21" xfId="2698" applyFont="1" applyFill="1" applyBorder="1" applyAlignment="1">
      <alignment horizontal="center" vertical="center" wrapText="1"/>
      <protection/>
    </xf>
    <xf numFmtId="0" fontId="76" fillId="0" borderId="21" xfId="2698" applyFont="1" applyFill="1" applyBorder="1" applyAlignment="1">
      <alignment horizontal="right" vertical="center" wrapText="1"/>
      <protection/>
    </xf>
    <xf numFmtId="0" fontId="6" fillId="0" borderId="21" xfId="0" applyFont="1" applyFill="1" applyBorder="1" applyAlignment="1">
      <alignment vertical="center" wrapText="1"/>
    </xf>
    <xf numFmtId="0" fontId="6" fillId="0" borderId="21" xfId="2698" applyFont="1" applyFill="1" applyBorder="1" applyAlignment="1">
      <alignment vertical="center" wrapText="1"/>
      <protection/>
    </xf>
    <xf numFmtId="3" fontId="19" fillId="0" borderId="21" xfId="2698" applyNumberFormat="1" applyFont="1" applyFill="1" applyBorder="1" applyAlignment="1">
      <alignment horizontal="right" vertical="center" wrapText="1"/>
      <protection/>
    </xf>
    <xf numFmtId="0" fontId="19" fillId="0" borderId="22" xfId="2698" applyFont="1" applyFill="1" applyBorder="1" applyAlignment="1">
      <alignment horizontal="center" vertical="center" wrapText="1"/>
      <protection/>
    </xf>
    <xf numFmtId="0" fontId="19" fillId="0" borderId="22" xfId="2698" applyFont="1" applyFill="1" applyBorder="1" applyAlignment="1">
      <alignment vertical="center" wrapText="1"/>
      <protection/>
    </xf>
    <xf numFmtId="3" fontId="25" fillId="0" borderId="22" xfId="0" applyNumberFormat="1" applyFont="1" applyFill="1" applyBorder="1" applyAlignment="1">
      <alignment horizontal="right" vertical="center" wrapText="1"/>
    </xf>
    <xf numFmtId="0" fontId="19" fillId="0" borderId="22" xfId="2698" applyFont="1" applyFill="1" applyBorder="1" applyAlignment="1">
      <alignment horizontal="right" vertical="center" wrapText="1"/>
      <protection/>
    </xf>
    <xf numFmtId="0" fontId="2" fillId="0" borderId="0" xfId="2866" applyFont="1" applyFill="1" applyBorder="1" applyAlignment="1">
      <alignment horizontal="center" vertical="top" readingOrder="1"/>
      <protection/>
    </xf>
    <xf numFmtId="0" fontId="16" fillId="0" borderId="0" xfId="2879" applyFont="1" applyFill="1" applyAlignment="1">
      <alignment horizontal="center"/>
      <protection/>
    </xf>
    <xf numFmtId="0" fontId="7" fillId="0" borderId="24" xfId="2879" applyFont="1" applyFill="1" applyBorder="1" applyAlignment="1">
      <alignment horizontal="right"/>
      <protection/>
    </xf>
    <xf numFmtId="0" fontId="2" fillId="0" borderId="0" xfId="2879" applyFont="1" applyFill="1" applyAlignment="1">
      <alignment horizontal="right"/>
      <protection/>
    </xf>
    <xf numFmtId="0" fontId="22" fillId="0" borderId="0" xfId="2879" applyFont="1" applyFill="1" applyAlignment="1">
      <alignment horizontal="center"/>
      <protection/>
    </xf>
    <xf numFmtId="0" fontId="6" fillId="0" borderId="0" xfId="2879" applyFont="1" applyFill="1" applyAlignment="1">
      <alignment horizontal="center"/>
      <protection/>
    </xf>
    <xf numFmtId="0" fontId="2" fillId="0" borderId="19" xfId="2879" applyFont="1" applyFill="1" applyBorder="1" applyAlignment="1">
      <alignment horizontal="center" vertical="center"/>
      <protection/>
    </xf>
    <xf numFmtId="0" fontId="2" fillId="0" borderId="0" xfId="2721" applyFont="1" applyFill="1" applyAlignment="1">
      <alignment horizontal="left"/>
      <protection/>
    </xf>
    <xf numFmtId="0" fontId="22" fillId="0" borderId="0" xfId="2878" applyNumberFormat="1" applyFont="1" applyFill="1" applyAlignment="1">
      <alignment horizontal="center"/>
      <protection/>
    </xf>
    <xf numFmtId="0" fontId="22" fillId="0" borderId="0" xfId="2878" applyFont="1" applyFill="1" applyAlignment="1">
      <alignment horizontal="center"/>
      <protection/>
    </xf>
    <xf numFmtId="0" fontId="6" fillId="0" borderId="0" xfId="2878" applyNumberFormat="1" applyFont="1" applyFill="1" applyAlignment="1">
      <alignment horizontal="center"/>
      <protection/>
    </xf>
    <xf numFmtId="0" fontId="2" fillId="0" borderId="19" xfId="2878" applyFont="1" applyFill="1" applyBorder="1" applyAlignment="1">
      <alignment horizontal="center" vertical="center" wrapText="1"/>
      <protection/>
    </xf>
    <xf numFmtId="0" fontId="5" fillId="0" borderId="19" xfId="2878" applyFont="1" applyFill="1" applyBorder="1" applyAlignment="1">
      <alignment horizontal="center" vertical="center" wrapText="1"/>
      <protection/>
    </xf>
    <xf numFmtId="0" fontId="5" fillId="0" borderId="19" xfId="2878" applyNumberFormat="1" applyFont="1" applyFill="1" applyBorder="1" applyAlignment="1">
      <alignment horizontal="center" vertical="center" wrapText="1"/>
      <protection/>
    </xf>
    <xf numFmtId="0" fontId="6" fillId="0" borderId="0" xfId="2879" applyFont="1" applyFill="1" applyBorder="1" applyAlignment="1">
      <alignment horizontal="center"/>
      <protection/>
    </xf>
    <xf numFmtId="0" fontId="5" fillId="0" borderId="0" xfId="0" applyFont="1" applyFill="1" applyAlignment="1">
      <alignment/>
    </xf>
    <xf numFmtId="0" fontId="5" fillId="0" borderId="0" xfId="0" applyFont="1" applyFill="1" applyAlignment="1">
      <alignment horizontal="right"/>
    </xf>
    <xf numFmtId="0" fontId="22" fillId="0" borderId="0" xfId="0" applyFont="1" applyFill="1" applyAlignment="1">
      <alignment horizontal="center"/>
    </xf>
    <xf numFmtId="0" fontId="6" fillId="0" borderId="0" xfId="0" applyFont="1" applyFill="1" applyAlignment="1">
      <alignment horizontal="center"/>
    </xf>
    <xf numFmtId="0" fontId="6" fillId="0" borderId="24" xfId="0" applyFont="1" applyFill="1" applyBorder="1" applyAlignment="1">
      <alignment horizontal="center"/>
    </xf>
    <xf numFmtId="0" fontId="5" fillId="0" borderId="19" xfId="0" applyFont="1" applyFill="1" applyBorder="1" applyAlignment="1">
      <alignment horizontal="center" vertical="center"/>
    </xf>
    <xf numFmtId="0" fontId="81" fillId="0" borderId="0" xfId="0" applyFont="1" applyFill="1" applyAlignment="1">
      <alignment/>
    </xf>
    <xf numFmtId="0" fontId="6" fillId="0" borderId="31" xfId="2879" applyFont="1" applyFill="1" applyBorder="1" applyAlignment="1">
      <alignment horizontal="center"/>
      <protection/>
    </xf>
    <xf numFmtId="0" fontId="16" fillId="0" borderId="0" xfId="2879" applyFont="1" applyFill="1" applyBorder="1" applyAlignment="1">
      <alignment horizontal="center"/>
      <protection/>
    </xf>
    <xf numFmtId="0" fontId="7" fillId="0" borderId="0" xfId="2866" applyFont="1" applyBorder="1" applyAlignment="1">
      <alignment horizontal="center" vertical="center" wrapText="1" readingOrder="1"/>
      <protection/>
    </xf>
    <xf numFmtId="0" fontId="2" fillId="0" borderId="0" xfId="2866" applyFont="1" applyBorder="1" applyAlignment="1">
      <alignment horizontal="center" vertical="center" wrapText="1" readingOrder="1"/>
      <protection/>
    </xf>
    <xf numFmtId="0" fontId="5" fillId="0" borderId="19" xfId="0" applyFont="1" applyBorder="1" applyAlignment="1">
      <alignment horizontal="center" vertical="center" wrapText="1"/>
    </xf>
    <xf numFmtId="0" fontId="5" fillId="0" borderId="0" xfId="2755" applyFont="1" applyFill="1" applyAlignment="1">
      <alignment horizontal="center"/>
      <protection/>
    </xf>
    <xf numFmtId="0" fontId="5" fillId="0" borderId="0" xfId="0" applyFont="1" applyAlignment="1">
      <alignment/>
    </xf>
    <xf numFmtId="0" fontId="5" fillId="0" borderId="0" xfId="0" applyFont="1" applyAlignment="1">
      <alignment horizontal="right"/>
    </xf>
    <xf numFmtId="0" fontId="22" fillId="0" borderId="0" xfId="0" applyFont="1" applyAlignment="1">
      <alignment horizontal="center" vertical="center"/>
    </xf>
    <xf numFmtId="0" fontId="6" fillId="0" borderId="0" xfId="0" applyFont="1" applyAlignment="1">
      <alignment horizontal="center" vertical="center"/>
    </xf>
    <xf numFmtId="166" fontId="5" fillId="0" borderId="0" xfId="2707" applyNumberFormat="1" applyFont="1" applyFill="1" applyAlignment="1">
      <alignment horizontal="center"/>
      <protection/>
    </xf>
    <xf numFmtId="0" fontId="23" fillId="0" borderId="0" xfId="2866" applyFont="1" applyBorder="1" applyAlignment="1">
      <alignment horizontal="center" vertical="center" wrapText="1" readingOrder="1"/>
      <protection/>
    </xf>
    <xf numFmtId="0" fontId="6" fillId="0" borderId="0" xfId="0" applyFont="1" applyAlignment="1">
      <alignment horizontal="right"/>
    </xf>
    <xf numFmtId="0" fontId="24" fillId="0" borderId="0" xfId="2866" applyFont="1" applyBorder="1" applyAlignment="1">
      <alignment horizontal="center" vertical="center" wrapText="1" readingOrder="1"/>
      <protection/>
    </xf>
    <xf numFmtId="0" fontId="19" fillId="0" borderId="21" xfId="2871" applyFont="1" applyFill="1" applyBorder="1" applyAlignment="1">
      <alignment horizontal="left" vertical="center" wrapText="1"/>
      <protection/>
    </xf>
    <xf numFmtId="0" fontId="19" fillId="0" borderId="21" xfId="2871" applyFont="1" applyFill="1" applyBorder="1" applyAlignment="1">
      <alignment horizontal="center" vertical="center" wrapText="1"/>
      <protection/>
    </xf>
    <xf numFmtId="0" fontId="19" fillId="0" borderId="32" xfId="2871" applyFont="1" applyFill="1" applyBorder="1" applyAlignment="1">
      <alignment horizontal="center" vertical="center" wrapText="1"/>
      <protection/>
    </xf>
    <xf numFmtId="0" fontId="19" fillId="0" borderId="33" xfId="2871" applyFont="1" applyFill="1" applyBorder="1" applyAlignment="1">
      <alignment horizontal="center" vertical="center" wrapText="1"/>
      <protection/>
    </xf>
    <xf numFmtId="0" fontId="19" fillId="0" borderId="27" xfId="2871" applyFont="1" applyFill="1" applyBorder="1" applyAlignment="1">
      <alignment horizontal="center" vertical="center" wrapText="1"/>
      <protection/>
    </xf>
    <xf numFmtId="0" fontId="19" fillId="0" borderId="32" xfId="2871" applyFont="1" applyFill="1" applyBorder="1" applyAlignment="1">
      <alignment horizontal="left" vertical="center" wrapText="1"/>
      <protection/>
    </xf>
    <xf numFmtId="0" fontId="19" fillId="0" borderId="33" xfId="2871" applyFont="1" applyFill="1" applyBorder="1" applyAlignment="1">
      <alignment horizontal="left" vertical="center" wrapText="1"/>
      <protection/>
    </xf>
    <xf numFmtId="0" fontId="19" fillId="0" borderId="27" xfId="2871" applyFont="1" applyFill="1" applyBorder="1" applyAlignment="1">
      <alignment horizontal="left" vertical="center" wrapText="1"/>
      <protection/>
    </xf>
    <xf numFmtId="0" fontId="22" fillId="0" borderId="0" xfId="0" applyFont="1" applyFill="1" applyBorder="1" applyAlignment="1">
      <alignment horizontal="center" vertical="center" wrapText="1" readingOrder="1"/>
    </xf>
    <xf numFmtId="0" fontId="85" fillId="0" borderId="0" xfId="0" applyFont="1" applyFill="1" applyBorder="1" applyAlignment="1">
      <alignment horizontal="center" vertical="center" wrapText="1" readingOrder="1"/>
    </xf>
    <xf numFmtId="0" fontId="19" fillId="0" borderId="22" xfId="2871" applyFont="1" applyFill="1" applyBorder="1" applyAlignment="1">
      <alignment horizontal="left" vertical="center" wrapText="1"/>
      <protection/>
    </xf>
    <xf numFmtId="0" fontId="19" fillId="0" borderId="22" xfId="2871" applyFont="1" applyFill="1" applyBorder="1" applyAlignment="1">
      <alignment horizontal="center" vertical="center" wrapText="1"/>
      <protection/>
    </xf>
    <xf numFmtId="0" fontId="12" fillId="0" borderId="0" xfId="2866" applyFont="1" applyFill="1" applyBorder="1" applyAlignment="1">
      <alignment horizontal="center" vertical="center" wrapText="1" readingOrder="1"/>
      <protection/>
    </xf>
    <xf numFmtId="0" fontId="5" fillId="0" borderId="0" xfId="2866" applyFont="1" applyFill="1" applyBorder="1" applyAlignment="1">
      <alignment horizontal="center" vertical="top" readingOrder="1"/>
      <protection/>
    </xf>
    <xf numFmtId="0" fontId="5" fillId="0" borderId="0" xfId="2866" applyFont="1" applyFill="1" applyBorder="1" applyAlignment="1">
      <alignment horizontal="center" vertical="center" wrapText="1" readingOrder="1"/>
      <protection/>
    </xf>
    <xf numFmtId="0" fontId="86" fillId="0" borderId="0" xfId="2866" applyFont="1" applyFill="1" applyBorder="1" applyAlignment="1">
      <alignment horizontal="left" vertical="center" wrapText="1" readingOrder="1"/>
      <protection/>
    </xf>
    <xf numFmtId="0" fontId="5" fillId="0" borderId="0" xfId="0" applyFont="1" applyFill="1" applyAlignment="1">
      <alignment horizontal="center" wrapText="1"/>
    </xf>
    <xf numFmtId="0" fontId="2" fillId="0" borderId="19" xfId="2698" applyFont="1" applyFill="1" applyBorder="1" applyAlignment="1">
      <alignment horizontal="center" vertical="center"/>
      <protection/>
    </xf>
    <xf numFmtId="0" fontId="2" fillId="0" borderId="16" xfId="2698" applyFont="1" applyFill="1" applyBorder="1" applyAlignment="1">
      <alignment horizontal="center" vertical="center"/>
      <protection/>
    </xf>
    <xf numFmtId="0" fontId="2" fillId="0" borderId="9" xfId="2698" applyFont="1" applyFill="1" applyBorder="1" applyAlignment="1">
      <alignment horizontal="center" vertical="center"/>
      <protection/>
    </xf>
    <xf numFmtId="0" fontId="2" fillId="0" borderId="28" xfId="2698" applyFont="1" applyFill="1" applyBorder="1" applyAlignment="1">
      <alignment horizontal="center" vertical="center"/>
      <protection/>
    </xf>
    <xf numFmtId="0" fontId="74" fillId="0" borderId="0" xfId="2866" applyFont="1" applyFill="1" applyBorder="1" applyAlignment="1">
      <alignment horizontal="center" vertical="center" wrapText="1" readingOrder="1"/>
      <protection/>
    </xf>
    <xf numFmtId="0" fontId="75" fillId="0" borderId="0" xfId="2866" applyFont="1" applyFill="1" applyBorder="1" applyAlignment="1">
      <alignment horizontal="center" vertical="center" wrapText="1" readingOrder="1"/>
      <protection/>
    </xf>
    <xf numFmtId="0" fontId="5" fillId="0" borderId="0" xfId="2698" applyFont="1" applyFill="1" applyAlignment="1">
      <alignment horizontal="center"/>
      <protection/>
    </xf>
    <xf numFmtId="0" fontId="2" fillId="0" borderId="23" xfId="2698" applyFont="1" applyFill="1" applyBorder="1" applyAlignment="1">
      <alignment horizontal="center" vertical="center"/>
      <protection/>
    </xf>
    <xf numFmtId="0" fontId="2" fillId="0" borderId="29" xfId="2698" applyFont="1" applyFill="1" applyBorder="1" applyAlignment="1">
      <alignment horizontal="center" vertical="center"/>
      <protection/>
    </xf>
    <xf numFmtId="0" fontId="5" fillId="0" borderId="0" xfId="2698" applyFont="1" applyFill="1" applyAlignment="1">
      <alignment horizontal="left" vertical="center"/>
      <protection/>
    </xf>
    <xf numFmtId="0" fontId="22" fillId="0" borderId="0" xfId="2698" applyFont="1" applyFill="1" applyAlignment="1">
      <alignment horizontal="center" vertical="center" wrapText="1"/>
      <protection/>
    </xf>
    <xf numFmtId="0" fontId="6" fillId="0" borderId="0" xfId="2698" applyFont="1" applyFill="1" applyAlignment="1">
      <alignment horizontal="center" vertical="center"/>
      <protection/>
    </xf>
    <xf numFmtId="0" fontId="5" fillId="0" borderId="0" xfId="2698" applyFont="1" applyBorder="1" applyAlignment="1">
      <alignment horizontal="center"/>
      <protection/>
    </xf>
    <xf numFmtId="0" fontId="5" fillId="0" borderId="0" xfId="2698" applyFont="1" applyAlignment="1">
      <alignment horizontal="left"/>
      <protection/>
    </xf>
    <xf numFmtId="0" fontId="22" fillId="0" borderId="0" xfId="2698" applyFont="1" applyAlignment="1">
      <alignment horizontal="center" wrapText="1"/>
      <protection/>
    </xf>
    <xf numFmtId="0" fontId="6" fillId="0" borderId="0" xfId="2698" applyFont="1" applyAlignment="1">
      <alignment horizontal="center" vertical="top" wrapText="1"/>
      <protection/>
    </xf>
    <xf numFmtId="0" fontId="6" fillId="0" borderId="24" xfId="2698" applyFont="1" applyBorder="1" applyAlignment="1">
      <alignment horizontal="right"/>
      <protection/>
    </xf>
    <xf numFmtId="0" fontId="74" fillId="0" borderId="0" xfId="2866" applyFont="1" applyBorder="1" applyAlignment="1">
      <alignment horizontal="center" vertical="center" wrapText="1" readingOrder="1"/>
      <protection/>
    </xf>
    <xf numFmtId="0" fontId="75" fillId="0" borderId="0" xfId="2866" applyFont="1" applyBorder="1" applyAlignment="1">
      <alignment horizontal="center" vertical="center" wrapText="1" readingOrder="1"/>
      <protection/>
    </xf>
    <xf numFmtId="0" fontId="5" fillId="0" borderId="0" xfId="2761" applyFont="1" applyAlignment="1">
      <alignment horizontal="left"/>
      <protection/>
    </xf>
    <xf numFmtId="0" fontId="22" fillId="0" borderId="0" xfId="2761" applyFont="1" applyAlignment="1">
      <alignment horizontal="center"/>
      <protection/>
    </xf>
    <xf numFmtId="0" fontId="22" fillId="0" borderId="0" xfId="2761" applyFont="1" applyAlignment="1">
      <alignment horizontal="center" vertical="center"/>
      <protection/>
    </xf>
    <xf numFmtId="0" fontId="6" fillId="0" borderId="0" xfId="2761" applyFont="1" applyAlignment="1">
      <alignment horizontal="center" vertical="center"/>
      <protection/>
    </xf>
    <xf numFmtId="168" fontId="6" fillId="0" borderId="24" xfId="2235" applyNumberFormat="1" applyFont="1" applyBorder="1" applyAlignment="1">
      <alignment horizontal="right"/>
    </xf>
    <xf numFmtId="0" fontId="5" fillId="36" borderId="23" xfId="2761" applyFont="1" applyFill="1" applyBorder="1" applyAlignment="1">
      <alignment horizontal="center" vertical="center" wrapText="1"/>
      <protection/>
    </xf>
    <xf numFmtId="0" fontId="5" fillId="36" borderId="29" xfId="2761" applyFont="1" applyFill="1" applyBorder="1" applyAlignment="1">
      <alignment horizontal="center" vertical="center" wrapText="1"/>
      <protection/>
    </xf>
    <xf numFmtId="0" fontId="5" fillId="0" borderId="0" xfId="2702" applyFont="1" applyAlignment="1">
      <alignment horizontal="center"/>
      <protection/>
    </xf>
    <xf numFmtId="168" fontId="5" fillId="36" borderId="23" xfId="2235" applyNumberFormat="1" applyFont="1" applyFill="1" applyBorder="1" applyAlignment="1">
      <alignment horizontal="center" vertical="center" wrapText="1"/>
    </xf>
    <xf numFmtId="168" fontId="5" fillId="36" borderId="29" xfId="2235" applyNumberFormat="1" applyFont="1" applyFill="1" applyBorder="1" applyAlignment="1">
      <alignment horizontal="center" vertical="center" wrapText="1"/>
    </xf>
    <xf numFmtId="168" fontId="5" fillId="36" borderId="19" xfId="2235" applyNumberFormat="1" applyFont="1" applyFill="1" applyBorder="1" applyAlignment="1">
      <alignment horizontal="center" vertical="center" wrapText="1"/>
    </xf>
    <xf numFmtId="168" fontId="5" fillId="0" borderId="0" xfId="2240" applyNumberFormat="1" applyFont="1" applyFill="1" applyAlignment="1">
      <alignment horizontal="center"/>
    </xf>
    <xf numFmtId="0" fontId="22" fillId="0" borderId="0" xfId="2765" applyFont="1" applyFill="1" applyAlignment="1">
      <alignment horizontal="center" vertical="center"/>
      <protection/>
    </xf>
    <xf numFmtId="0" fontId="6" fillId="0" borderId="0" xfId="2765" applyFont="1" applyFill="1" applyAlignment="1">
      <alignment horizontal="center" vertical="center"/>
      <protection/>
    </xf>
    <xf numFmtId="0" fontId="24" fillId="0" borderId="24" xfId="0" applyFont="1" applyBorder="1" applyAlignment="1">
      <alignment horizontal="center"/>
    </xf>
    <xf numFmtId="0" fontId="2" fillId="0" borderId="0" xfId="2879" applyFont="1" applyFill="1" applyAlignment="1">
      <alignment horizontal="center"/>
      <protection/>
    </xf>
    <xf numFmtId="0" fontId="74" fillId="0" borderId="0" xfId="2869" applyFont="1" applyBorder="1" applyAlignment="1">
      <alignment horizontal="center" vertical="center" wrapText="1" readingOrder="1"/>
      <protection/>
    </xf>
    <xf numFmtId="0" fontId="75" fillId="0" borderId="0" xfId="2869" applyFont="1" applyBorder="1" applyAlignment="1">
      <alignment horizontal="center" vertical="center" wrapText="1" readingOrder="1"/>
      <protection/>
    </xf>
    <xf numFmtId="0" fontId="8" fillId="0" borderId="23" xfId="2763" applyFont="1" applyBorder="1" applyAlignment="1">
      <alignment horizontal="center" vertical="center" wrapText="1"/>
      <protection/>
    </xf>
    <xf numFmtId="0" fontId="8" fillId="0" borderId="33" xfId="2763" applyFont="1" applyBorder="1" applyAlignment="1">
      <alignment horizontal="center" vertical="center" wrapText="1"/>
      <protection/>
    </xf>
    <xf numFmtId="0" fontId="8" fillId="0" borderId="29" xfId="2763" applyFont="1" applyBorder="1" applyAlignment="1">
      <alignment horizontal="center" vertical="center" wrapText="1"/>
      <protection/>
    </xf>
    <xf numFmtId="0" fontId="5" fillId="0" borderId="0" xfId="2765" applyFont="1" applyFill="1" applyAlignment="1">
      <alignment horizontal="left"/>
      <protection/>
    </xf>
    <xf numFmtId="0" fontId="8" fillId="0" borderId="34" xfId="2763" applyFont="1" applyBorder="1" applyAlignment="1">
      <alignment horizontal="center" vertical="center" wrapText="1"/>
      <protection/>
    </xf>
    <xf numFmtId="0" fontId="8" fillId="0" borderId="31" xfId="2763" applyFont="1" applyBorder="1" applyAlignment="1">
      <alignment horizontal="center" vertical="center" wrapText="1"/>
      <protection/>
    </xf>
    <xf numFmtId="0" fontId="8" fillId="0" borderId="35" xfId="2763" applyFont="1" applyBorder="1" applyAlignment="1">
      <alignment horizontal="center" vertical="center" wrapText="1"/>
      <protection/>
    </xf>
    <xf numFmtId="0" fontId="8" fillId="0" borderId="36" xfId="2763" applyFont="1" applyBorder="1" applyAlignment="1">
      <alignment horizontal="center" vertical="center" wrapText="1"/>
      <protection/>
    </xf>
    <xf numFmtId="0" fontId="8" fillId="0" borderId="24" xfId="2763" applyFont="1" applyBorder="1" applyAlignment="1">
      <alignment horizontal="center" vertical="center" wrapText="1"/>
      <protection/>
    </xf>
    <xf numFmtId="0" fontId="8" fillId="0" borderId="37" xfId="2763" applyFont="1" applyBorder="1" applyAlignment="1">
      <alignment horizontal="center" vertical="center" wrapText="1"/>
      <protection/>
    </xf>
    <xf numFmtId="168" fontId="8" fillId="0" borderId="34" xfId="2240" applyNumberFormat="1" applyFont="1" applyFill="1" applyBorder="1" applyAlignment="1">
      <alignment horizontal="center" vertical="center" wrapText="1"/>
    </xf>
    <xf numFmtId="168" fontId="8" fillId="0" borderId="31" xfId="2240" applyNumberFormat="1" applyFont="1" applyFill="1" applyBorder="1" applyAlignment="1">
      <alignment horizontal="center" vertical="center" wrapText="1"/>
    </xf>
    <xf numFmtId="168" fontId="8" fillId="0" borderId="35" xfId="2240" applyNumberFormat="1" applyFont="1" applyFill="1" applyBorder="1" applyAlignment="1">
      <alignment horizontal="center" vertical="center" wrapText="1"/>
    </xf>
    <xf numFmtId="168" fontId="8" fillId="0" borderId="36" xfId="2240" applyNumberFormat="1" applyFont="1" applyFill="1" applyBorder="1" applyAlignment="1">
      <alignment horizontal="center" vertical="center" wrapText="1"/>
    </xf>
    <xf numFmtId="168" fontId="8" fillId="0" borderId="24" xfId="2240" applyNumberFormat="1" applyFont="1" applyFill="1" applyBorder="1" applyAlignment="1">
      <alignment horizontal="center" vertical="center" wrapText="1"/>
    </xf>
    <xf numFmtId="168" fontId="8" fillId="0" borderId="37" xfId="2240" applyNumberFormat="1" applyFont="1" applyFill="1" applyBorder="1" applyAlignment="1">
      <alignment horizontal="center" vertical="center" wrapText="1"/>
    </xf>
    <xf numFmtId="0" fontId="5" fillId="0" borderId="0" xfId="2702" applyFont="1" applyAlignment="1">
      <alignment horizontal="left" vertical="top" wrapText="1"/>
      <protection/>
    </xf>
    <xf numFmtId="0" fontId="5" fillId="0" borderId="0" xfId="2879" applyFont="1" applyFill="1" applyAlignment="1">
      <alignment horizontal="right"/>
      <protection/>
    </xf>
    <xf numFmtId="0" fontId="22" fillId="0" borderId="0" xfId="2702" applyFont="1" applyAlignment="1">
      <alignment horizontal="center"/>
      <protection/>
    </xf>
    <xf numFmtId="0" fontId="6" fillId="0" borderId="24" xfId="2702" applyFont="1" applyBorder="1" applyAlignment="1">
      <alignment horizontal="right"/>
      <protection/>
    </xf>
    <xf numFmtId="0" fontId="5" fillId="0" borderId="19" xfId="2702" applyFont="1" applyBorder="1" applyAlignment="1">
      <alignment horizontal="center" vertical="center" wrapText="1"/>
      <protection/>
    </xf>
    <xf numFmtId="0" fontId="6" fillId="0" borderId="0" xfId="2702" applyFont="1" applyAlignment="1">
      <alignment horizontal="center"/>
      <protection/>
    </xf>
    <xf numFmtId="0" fontId="10" fillId="0" borderId="0" xfId="2702" applyFont="1" applyAlignment="1">
      <alignment vertical="top" wrapText="1"/>
      <protection/>
    </xf>
    <xf numFmtId="0" fontId="5" fillId="0" borderId="0" xfId="2879" applyFont="1" applyFill="1" applyBorder="1" applyAlignment="1">
      <alignment horizontal="center"/>
      <protection/>
    </xf>
    <xf numFmtId="0" fontId="5" fillId="0" borderId="0" xfId="0" applyFont="1" applyAlignment="1">
      <alignment horizontal="center"/>
    </xf>
    <xf numFmtId="0" fontId="22"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right"/>
    </xf>
    <xf numFmtId="0" fontId="16" fillId="0" borderId="19" xfId="0" applyFont="1" applyBorder="1" applyAlignment="1">
      <alignment horizontal="center" vertical="center" wrapText="1"/>
    </xf>
    <xf numFmtId="0" fontId="6" fillId="0" borderId="0" xfId="0" applyFont="1" applyBorder="1" applyAlignment="1">
      <alignment horizontal="center"/>
    </xf>
  </cellXfs>
  <cellStyles count="331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x0001_" xfId="15"/>
    <cellStyle name="          &#13;&#10;shell=progman.exe&#13;&#10;m" xfId="16"/>
    <cellStyle name="#,##0" xfId="17"/>
    <cellStyle name="." xfId="18"/>
    <cellStyle name=".d©y" xfId="19"/>
    <cellStyle name=".d©y?_x000C_Normal_®Ò&#13;Normal_123569?b_x000F_Normal_5HUYIC~1?_x0011_Normal_903DK-2001?_x000C_Normal_AD_x000B_Normal_Adot?&#13;Normal_ADAdot?&#13;Normal_ADOT~1ⓨ␐_x000B_?ÿ?_x0012_?ÿ?adot1?_x000B_Normal_ATEP?_x0012_Normal_Bao 㐬⎼o NCC?_x000B_" xfId="20"/>
    <cellStyle name="?" xfId="21"/>
    <cellStyle name="??" xfId="22"/>
    <cellStyle name="?? [0.00]_      " xfId="23"/>
    <cellStyle name="?? [0]" xfId="24"/>
    <cellStyle name="?_x001D_??%U©÷u&amp;H©÷9_x0008_? s&#10;_x0007__x0001__x0001_" xfId="25"/>
    <cellStyle name="?_x001D_??%U©÷u&amp;H©÷9_x0008_? s&#10;_x0007__x0001__x0001_" xfId="26"/>
    <cellStyle name="???? [0.00]_      " xfId="27"/>
    <cellStyle name="????_      " xfId="28"/>
    <cellStyle name="???[0]_?? DI" xfId="29"/>
    <cellStyle name="???_?? DI" xfId="30"/>
    <cellStyle name="???R쀀Àok1" xfId="31"/>
    <cellStyle name="??[0]_BRE" xfId="32"/>
    <cellStyle name="??_      " xfId="33"/>
    <cellStyle name="??A? [0]_laroux_1_¢¬???¢â? " xfId="34"/>
    <cellStyle name="??A?_laroux_1_¢¬???¢â? " xfId="35"/>
    <cellStyle name="?¡±¢¥?_?¨ù??¢´¢¥_¢¬???¢â? " xfId="36"/>
    <cellStyle name="_x0001_?¶æµ_x001B_ºß­ " xfId="37"/>
    <cellStyle name="_x0001_?¶æµ_x001B_ºß­ ?[?0?.?0?0?]?_?P?R?" xfId="38"/>
    <cellStyle name="_x0001_?¶æµ_x001B_ºß­_" xfId="39"/>
    <cellStyle name="?Comma_phu tro SS3" xfId="40"/>
    <cellStyle name="?Currency_phu tro SS3" xfId="41"/>
    <cellStyle name="?Dat" xfId="42"/>
    <cellStyle name="?ðÇ%U?&amp;H?_x0008_?s&#10;_x0007__x0001__x0001_" xfId="43"/>
    <cellStyle name="?Fixe" xfId="44"/>
    <cellStyle name="?Header" xfId="45"/>
    <cellStyle name="?Heading " xfId="46"/>
    <cellStyle name="_x0001_?N,‚_?0?0?Q?3?" xfId="47"/>
    <cellStyle name="_x0001_?N,_?0?0?Q?3?" xfId="48"/>
    <cellStyle name="?Normal_dap (3" xfId="49"/>
    <cellStyle name="?Tota" xfId="50"/>
    <cellStyle name="?ÿ?_x0012_?ÿ?adot" xfId="51"/>
    <cellStyle name="_x0001_\Ô" xfId="52"/>
    <cellStyle name="_x0001_\Ô?É_?(?_x0015_Èô¼€½" xfId="53"/>
    <cellStyle name="_?_BOOKSHIP" xfId="54"/>
    <cellStyle name="__ [0.00]_PRODUCT DETAIL Q1" xfId="55"/>
    <cellStyle name="__ [0]_1202" xfId="56"/>
    <cellStyle name="__ [0]_1202_Result Red Store Jun" xfId="57"/>
    <cellStyle name="__ [0]_Book1" xfId="58"/>
    <cellStyle name="___(____)______" xfId="59"/>
    <cellStyle name="___[0]_Book1" xfId="60"/>
    <cellStyle name="____ [0.00]_PRODUCT DETAIL Q1" xfId="61"/>
    <cellStyle name="_____PRODUCT DETAIL Q1" xfId="62"/>
    <cellStyle name="____95" xfId="63"/>
    <cellStyle name="____Book1" xfId="64"/>
    <cellStyle name="___1202" xfId="65"/>
    <cellStyle name="___1202_Result Red Store Jun" xfId="66"/>
    <cellStyle name="___1202_Result Red Store Jun_1" xfId="67"/>
    <cellStyle name="___Book1" xfId="68"/>
    <cellStyle name="___Book1_Result Red Store Jun" xfId="69"/>
    <cellStyle name="___kc-elec system check list" xfId="70"/>
    <cellStyle name="___PRODUCT DETAIL Q1" xfId="71"/>
    <cellStyle name="_Bang Chi tieu (2)" xfId="72"/>
    <cellStyle name="_Book1" xfId="73"/>
    <cellStyle name="_Book1_1" xfId="74"/>
    <cellStyle name="_Book1_1_Gia goi thau KS, TKBVTC sua Ngay 12-01" xfId="75"/>
    <cellStyle name="_Book1_1_thanh hoa lap du an 062008" xfId="76"/>
    <cellStyle name="_Book1_2" xfId="77"/>
    <cellStyle name="_Book1_Book1" xfId="78"/>
    <cellStyle name="_Book1_caucong" xfId="79"/>
    <cellStyle name="_Book1_caulan1" xfId="80"/>
    <cellStyle name="_Book1_Gia goi thau KS, TKBVTC sua Ngay 12-01" xfId="81"/>
    <cellStyle name="_Book1_Nhap" xfId="82"/>
    <cellStyle name="_Book1_TH in" xfId="83"/>
    <cellStyle name="_Book1_thanh hoa lap du an 062008" xfId="84"/>
    <cellStyle name="_Book3" xfId="85"/>
    <cellStyle name="_Cau Phu Phuong" xfId="86"/>
    <cellStyle name="_Chau Thon - Tan Xuan (KCS 8-12-06)" xfId="87"/>
    <cellStyle name="_De huu song len" xfId="88"/>
    <cellStyle name="_Du toan khao sat don 553 (da sua 16.5.08)" xfId="89"/>
    <cellStyle name="_Giai Doan 3 Hong Ngu" xfId="90"/>
    <cellStyle name="_Goi 1 A tham tra" xfId="91"/>
    <cellStyle name="_Goi 2- My Ly Ban trinh" xfId="92"/>
    <cellStyle name="_Huong CHI tieu Nhiem vu CTMTQG 2014(1)" xfId="93"/>
    <cellStyle name="_KH.DTC.gd2016-2020 tinh (T2-2015)" xfId="94"/>
    <cellStyle name="_Khoi luong R4" xfId="95"/>
    <cellStyle name="_KT (2)" xfId="96"/>
    <cellStyle name="_KT (2)_1" xfId="97"/>
    <cellStyle name="_KT (2)_2" xfId="98"/>
    <cellStyle name="_KT (2)_2_TG-TH" xfId="99"/>
    <cellStyle name="_KT (2)_2_TG-TH_Book1" xfId="100"/>
    <cellStyle name="_KT (2)_2_TG-TH_Book1_Nhap" xfId="101"/>
    <cellStyle name="_KT (2)_2_TG-TH_Gia goi thau KS, TKBVTC sua Ngay 12-01" xfId="102"/>
    <cellStyle name="_KT (2)_2_TG-TH_Giai Doan 3 Hong Ngu" xfId="103"/>
    <cellStyle name="_KT (2)_2_TG-TH_Nhap" xfId="104"/>
    <cellStyle name="_KT (2)_2_TG-TH_PTDG" xfId="105"/>
    <cellStyle name="_KT (2)_2_TG-TH_thanh hoa lap du an 062008" xfId="106"/>
    <cellStyle name="_KT (2)_3" xfId="107"/>
    <cellStyle name="_KT (2)_3_TG-TH" xfId="108"/>
    <cellStyle name="_KT (2)_3_TG-TH_Book1" xfId="109"/>
    <cellStyle name="_KT (2)_3_TG-TH_Gia goi thau KS, TKBVTC sua Ngay 12-01" xfId="110"/>
    <cellStyle name="_KT (2)_3_TG-TH_Giai Doan 3 Hong Ngu" xfId="111"/>
    <cellStyle name="_KT (2)_3_TG-TH_Nhap" xfId="112"/>
    <cellStyle name="_KT (2)_3_TG-TH_PERSONAL" xfId="113"/>
    <cellStyle name="_KT (2)_4" xfId="114"/>
    <cellStyle name="_KT (2)_4_Book1" xfId="115"/>
    <cellStyle name="_KT (2)_4_Book1_Nhap" xfId="116"/>
    <cellStyle name="_KT (2)_4_Gia goi thau KS, TKBVTC sua Ngay 12-01" xfId="117"/>
    <cellStyle name="_KT (2)_4_Giai Doan 3 Hong Ngu" xfId="118"/>
    <cellStyle name="_KT (2)_4_Nhap" xfId="119"/>
    <cellStyle name="_KT (2)_4_PTDG" xfId="120"/>
    <cellStyle name="_KT (2)_4_TG-TH" xfId="121"/>
    <cellStyle name="_KT (2)_4_thanh hoa lap du an 062008" xfId="122"/>
    <cellStyle name="_KT (2)_5" xfId="123"/>
    <cellStyle name="_KT (2)_5_Book1" xfId="124"/>
    <cellStyle name="_KT (2)_5_Book1_Nhap" xfId="125"/>
    <cellStyle name="_KT (2)_5_Gia goi thau KS, TKBVTC sua Ngay 12-01" xfId="126"/>
    <cellStyle name="_KT (2)_5_Giai Doan 3 Hong Ngu" xfId="127"/>
    <cellStyle name="_KT (2)_5_Nhap" xfId="128"/>
    <cellStyle name="_KT (2)_5_PTDG" xfId="129"/>
    <cellStyle name="_KT (2)_5_thanh hoa lap du an 062008" xfId="130"/>
    <cellStyle name="_KT (2)_Book1" xfId="131"/>
    <cellStyle name="_KT (2)_Gia goi thau KS, TKBVTC sua Ngay 12-01" xfId="132"/>
    <cellStyle name="_KT (2)_Giai Doan 3 Hong Ngu" xfId="133"/>
    <cellStyle name="_KT (2)_Nhap" xfId="134"/>
    <cellStyle name="_KT (2)_PERSONAL" xfId="135"/>
    <cellStyle name="_KT (2)_TG-TH" xfId="136"/>
    <cellStyle name="_KT_TG" xfId="137"/>
    <cellStyle name="_KT_TG_1" xfId="138"/>
    <cellStyle name="_KT_TG_1_Book1" xfId="139"/>
    <cellStyle name="_KT_TG_1_Book1_Nhap" xfId="140"/>
    <cellStyle name="_KT_TG_1_Gia goi thau KS, TKBVTC sua Ngay 12-01" xfId="141"/>
    <cellStyle name="_KT_TG_1_Giai Doan 3 Hong Ngu" xfId="142"/>
    <cellStyle name="_KT_TG_1_Nhap" xfId="143"/>
    <cellStyle name="_KT_TG_1_PTDG" xfId="144"/>
    <cellStyle name="_KT_TG_1_thanh hoa lap du an 062008" xfId="145"/>
    <cellStyle name="_KT_TG_2" xfId="146"/>
    <cellStyle name="_KT_TG_2_Book1" xfId="147"/>
    <cellStyle name="_KT_TG_2_Book1_Nhap" xfId="148"/>
    <cellStyle name="_KT_TG_2_Gia goi thau KS, TKBVTC sua Ngay 12-01" xfId="149"/>
    <cellStyle name="_KT_TG_2_Giai Doan 3 Hong Ngu" xfId="150"/>
    <cellStyle name="_KT_TG_2_Nhap" xfId="151"/>
    <cellStyle name="_KT_TG_2_PTDG" xfId="152"/>
    <cellStyle name="_KT_TG_2_thanh hoa lap du an 062008" xfId="153"/>
    <cellStyle name="_KT_TG_3" xfId="154"/>
    <cellStyle name="_KT_TG_4" xfId="155"/>
    <cellStyle name="_Nhap" xfId="156"/>
    <cellStyle name="_OTC_price_gui_TTGDCK_HCM__05(1).01.07" xfId="157"/>
    <cellStyle name="_PERSONAL" xfId="158"/>
    <cellStyle name="_Phu luc KS" xfId="159"/>
    <cellStyle name="_R7-(Km33-Km34)cong nhom II" xfId="160"/>
    <cellStyle name="_R7-(Km33-Km34)cong nhom II_QT bieu 45 va 53 2011" xfId="161"/>
    <cellStyle name="_R7-(Km33-Km34)cong nhom II_Sheet2" xfId="162"/>
    <cellStyle name="_Sheet1" xfId="163"/>
    <cellStyle name="_TG-TH" xfId="164"/>
    <cellStyle name="_TG-TH_1" xfId="165"/>
    <cellStyle name="_TG-TH_1_Book1" xfId="166"/>
    <cellStyle name="_TG-TH_1_Book1_Nhap" xfId="167"/>
    <cellStyle name="_TG-TH_1_Gia goi thau KS, TKBVTC sua Ngay 12-01" xfId="168"/>
    <cellStyle name="_TG-TH_1_Giai Doan 3 Hong Ngu" xfId="169"/>
    <cellStyle name="_TG-TH_1_Nhap" xfId="170"/>
    <cellStyle name="_TG-TH_1_PTDG" xfId="171"/>
    <cellStyle name="_TG-TH_1_thanh hoa lap du an 062008" xfId="172"/>
    <cellStyle name="_TG-TH_2" xfId="173"/>
    <cellStyle name="_TG-TH_2_Book1" xfId="174"/>
    <cellStyle name="_TG-TH_2_Book1_Nhap" xfId="175"/>
    <cellStyle name="_TG-TH_2_Gia goi thau KS, TKBVTC sua Ngay 12-01" xfId="176"/>
    <cellStyle name="_TG-TH_2_Giai Doan 3 Hong Ngu" xfId="177"/>
    <cellStyle name="_TG-TH_2_Nhap" xfId="178"/>
    <cellStyle name="_TG-TH_2_PTDG" xfId="179"/>
    <cellStyle name="_TG-TH_2_thanh hoa lap du an 062008" xfId="180"/>
    <cellStyle name="_TG-TH_3" xfId="181"/>
    <cellStyle name="_TG-TH_4" xfId="182"/>
    <cellStyle name="_TMDT Cau me" xfId="183"/>
    <cellStyle name="_ÿÿÿÿÿ" xfId="184"/>
    <cellStyle name="_ÿÿÿÿÿ_thanh hoa lap du an 062008" xfId="185"/>
    <cellStyle name="_ÿÿÿÿÿ_thanh hoa lap du an 062008_QT bieu 45 va 53 2011" xfId="186"/>
    <cellStyle name="_ÿÿÿÿÿ_thanh hoa lap du an 062008_Sheet2" xfId="187"/>
    <cellStyle name="~1" xfId="188"/>
    <cellStyle name="~1 2" xfId="189"/>
    <cellStyle name="_x0001_¨c^ " xfId="190"/>
    <cellStyle name="_x0001_¨c^ ?[?0?]?_?0?0?" xfId="191"/>
    <cellStyle name="_x0001_¨c^[" xfId="192"/>
    <cellStyle name="_x0001_¨c^[?0?" xfId="193"/>
    <cellStyle name="_x0001_¨c^_" xfId="194"/>
    <cellStyle name="_x0001_¨Œc^ " xfId="195"/>
    <cellStyle name="_x0001_¨Œc^ ?[?0?]?_?0?0?" xfId="196"/>
    <cellStyle name="_x0001_¨Œc^[" xfId="197"/>
    <cellStyle name="_x0001_¨Œc^[?0?" xfId="198"/>
    <cellStyle name="_x0001_¨Œc^_" xfId="199"/>
    <cellStyle name="’Ê‰Ý [0.00]_laroux" xfId="200"/>
    <cellStyle name="’Ê‰Ý_laroux" xfId="201"/>
    <cellStyle name="_x0001_µÑTÖ " xfId="202"/>
    <cellStyle name="_x0001_µÑTÖ ?[?0?" xfId="203"/>
    <cellStyle name="_x0001_µÑTÖ_" xfId="204"/>
    <cellStyle name="•W€_¯–ì" xfId="205"/>
    <cellStyle name="•W_¯–ì" xfId="206"/>
    <cellStyle name="W_MARINE" xfId="207"/>
    <cellStyle name="0" xfId="208"/>
    <cellStyle name="0.0" xfId="209"/>
    <cellStyle name="0.00" xfId="210"/>
    <cellStyle name="1" xfId="211"/>
    <cellStyle name="1_6.Bang_luong_moi_XDCB" xfId="212"/>
    <cellStyle name="1_A che do KS +chi BQL" xfId="213"/>
    <cellStyle name="1_BANG CAM COC GPMB 8km" xfId="214"/>
    <cellStyle name="1_BANG CAM COC GPMB 8km_thanh hoa lap du an 062008" xfId="215"/>
    <cellStyle name="1_BANG CAM COC GPMB 8km_thanh hoa lap du an 062008_QT bieu 45 va 53 2011" xfId="216"/>
    <cellStyle name="1_BANG CAM COC GPMB 8km_thanh hoa lap du an 062008_Sheet2" xfId="217"/>
    <cellStyle name="1_Bang tong hop khoi luong" xfId="218"/>
    <cellStyle name="1_BCsoketgiuanhiemky_BIEU" xfId="219"/>
    <cellStyle name="1_Bieu_KH_2010_Giao" xfId="220"/>
    <cellStyle name="1_BieuKH.TM(T12.Gui TH)_2" xfId="221"/>
    <cellStyle name="1_Book1" xfId="222"/>
    <cellStyle name="1_Book1_1" xfId="223"/>
    <cellStyle name="1_Book1_1_thanh hoa lap du an 062008" xfId="224"/>
    <cellStyle name="1_Book1_1_thanh hoa lap du an 062008_QT bieu 45 va 53 2011" xfId="225"/>
    <cellStyle name="1_Book1_1_thanh hoa lap du an 062008_Sheet2" xfId="226"/>
    <cellStyle name="1_Book1_Book1" xfId="227"/>
    <cellStyle name="1_Book1_Book1_1" xfId="228"/>
    <cellStyle name="1_Book1_Book1_Book1" xfId="229"/>
    <cellStyle name="1_Book1_Book1_Book1_QT bieu 45 va 53 2011" xfId="230"/>
    <cellStyle name="1_Book1_Book1_Book1_Sheet2" xfId="231"/>
    <cellStyle name="1_Book1_Book1_Gia goi thau KS, TKBVTC sua Ngay 12-01" xfId="232"/>
    <cellStyle name="1_Book1_Book1_thanh hoa lap du an 062008" xfId="233"/>
    <cellStyle name="1_Book1_Cau Bai Son 2 Km 0+270.26 (8-11-2006)" xfId="234"/>
    <cellStyle name="1_Book1_Cau Bai Son 2 Km 0+270.26 (8-11-2006)_thanh hoa lap du an 062008" xfId="235"/>
    <cellStyle name="1_Book1_Cau Bai Son 2 Km 0+270.26 (8-11-2006)_thanh hoa lap du an 062008_QT bieu 45 va 53 2011" xfId="236"/>
    <cellStyle name="1_Book1_Cau Bai Son 2 Km 0+270.26 (8-11-2006)_thanh hoa lap du an 062008_Sheet2" xfId="237"/>
    <cellStyle name="1_Book1_Cau Hoa Son Km 1+441.06 (14-12-2006)" xfId="238"/>
    <cellStyle name="1_Book1_Cau Hoa Son Km 1+441.06 (14-12-2006)_thanh hoa lap du an 062008" xfId="239"/>
    <cellStyle name="1_Book1_Cau Hoa Son Km 1+441.06 (14-12-2006)_thanh hoa lap du an 062008_QT bieu 45 va 53 2011" xfId="240"/>
    <cellStyle name="1_Book1_Cau Hoa Son Km 1+441.06 (14-12-2006)_thanh hoa lap du an 062008_Sheet2" xfId="241"/>
    <cellStyle name="1_Book1_Cau Hoa Son Km 1+441.06 (22-10-2006)" xfId="242"/>
    <cellStyle name="1_Book1_Cau Hoa Son Km 1+441.06 (22-10-2006)_thanh hoa lap du an 062008" xfId="243"/>
    <cellStyle name="1_Book1_Cau Hoa Son Km 1+441.06 (22-10-2006)_thanh hoa lap du an 062008_QT bieu 45 va 53 2011" xfId="244"/>
    <cellStyle name="1_Book1_Cau Hoa Son Km 1+441.06 (22-10-2006)_thanh hoa lap du an 062008_Sheet2" xfId="245"/>
    <cellStyle name="1_Book1_Cau Hoa Son Km 1+441.06 (24-10-2006)" xfId="246"/>
    <cellStyle name="1_Book1_Cau Hoa Son Km 1+441.06 (24-10-2006)_thanh hoa lap du an 062008" xfId="247"/>
    <cellStyle name="1_Book1_Cau Hoa Son Km 1+441.06 (24-10-2006)_thanh hoa lap du an 062008_QT bieu 45 va 53 2011" xfId="248"/>
    <cellStyle name="1_Book1_Cau Hoa Son Km 1+441.06 (24-10-2006)_thanh hoa lap du an 062008_Sheet2" xfId="249"/>
    <cellStyle name="1_Book1_Cau Nam Tot(ngay 2-10-2006)" xfId="250"/>
    <cellStyle name="1_Book1_Cau Song Dao Km 1+51.54 (20-12-2006)" xfId="251"/>
    <cellStyle name="1_Book1_Cau Song Dao Km 1+51.54 (20-12-2006)_thanh hoa lap du an 062008" xfId="252"/>
    <cellStyle name="1_Book1_Cau Song Dao Km 1+51.54 (20-12-2006)_thanh hoa lap du an 062008_QT bieu 45 va 53 2011" xfId="253"/>
    <cellStyle name="1_Book1_Cau Song Dao Km 1+51.54 (20-12-2006)_thanh hoa lap du an 062008_Sheet2" xfId="254"/>
    <cellStyle name="1_Book1_CAU XOP XANG II(su­a)" xfId="255"/>
    <cellStyle name="1_Book1_CAU XOP XANG II(su­a)_thanh hoa lap du an 062008" xfId="256"/>
    <cellStyle name="1_Book1_CAU XOP XANG II(su­a)_thanh hoa lap du an 062008_QT bieu 45 va 53 2011" xfId="257"/>
    <cellStyle name="1_Book1_CAU XOP XANG II(su­a)_thanh hoa lap du an 062008_Sheet2" xfId="258"/>
    <cellStyle name="1_Book1_Dieu phoi dat goi 1" xfId="259"/>
    <cellStyle name="1_Book1_Dieu phoi dat goi 2" xfId="260"/>
    <cellStyle name="1_Book1_DT Kha thi ngay 11-2-06" xfId="261"/>
    <cellStyle name="1_Book1_DT Kha thi ngay 11-2-06_thanh hoa lap du an 062008" xfId="262"/>
    <cellStyle name="1_Book1_DT Kha thi ngay 11-2-06_thanh hoa lap du an 062008_QT bieu 45 va 53 2011" xfId="263"/>
    <cellStyle name="1_Book1_DT Kha thi ngay 11-2-06_thanh hoa lap du an 062008_Sheet2" xfId="264"/>
    <cellStyle name="1_Book1_DT ngay 04-01-2006" xfId="265"/>
    <cellStyle name="1_Book1_DT ngay 11-4-2006" xfId="266"/>
    <cellStyle name="1_Book1_DT ngay 15-11-05" xfId="267"/>
    <cellStyle name="1_Book1_DT ngay 15-11-05_thanh hoa lap du an 062008" xfId="268"/>
    <cellStyle name="1_Book1_DT ngay 15-11-05_thanh hoa lap du an 062008_QT bieu 45 va 53 2011" xfId="269"/>
    <cellStyle name="1_Book1_DT ngay 15-11-05_thanh hoa lap du an 062008_Sheet2" xfId="270"/>
    <cellStyle name="1_Book1_DT theo DM24" xfId="271"/>
    <cellStyle name="1_Book1_Du toan KT-TCsua theo TT 03 - YC 471" xfId="272"/>
    <cellStyle name="1_Book1_Du toan Phuong lam" xfId="273"/>
    <cellStyle name="1_Book1_Du toan Phuong lam_thanh hoa lap du an 062008" xfId="274"/>
    <cellStyle name="1_Book1_Du toan Phuong lam_thanh hoa lap du an 062008_QT bieu 45 va 53 2011" xfId="275"/>
    <cellStyle name="1_Book1_Du toan Phuong lam_thanh hoa lap du an 062008_Sheet2" xfId="276"/>
    <cellStyle name="1_Book1_Du toan QL 27 (23-12-2005)" xfId="277"/>
    <cellStyle name="1_Book1_DuAnKT ngay 11-2-2006" xfId="278"/>
    <cellStyle name="1_Book1_Goi 1" xfId="279"/>
    <cellStyle name="1_Book1_Goi thau so 1 (14-12-2006)" xfId="280"/>
    <cellStyle name="1_Book1_Goi thau so 1 (14-12-2006)_thanh hoa lap du an 062008" xfId="281"/>
    <cellStyle name="1_Book1_Goi thau so 1 (14-12-2006)_thanh hoa lap du an 062008_QT bieu 45 va 53 2011" xfId="282"/>
    <cellStyle name="1_Book1_Goi thau so 1 (14-12-2006)_thanh hoa lap du an 062008_Sheet2" xfId="283"/>
    <cellStyle name="1_Book1_Goi thau so 2 (20-6-2006)" xfId="284"/>
    <cellStyle name="1_Book1_Goi thau so 2 (20-6-2006)_thanh hoa lap du an 062008" xfId="285"/>
    <cellStyle name="1_Book1_Goi thau so 2 (20-6-2006)_thanh hoa lap du an 062008_QT bieu 45 va 53 2011" xfId="286"/>
    <cellStyle name="1_Book1_Goi thau so 2 (20-6-2006)_thanh hoa lap du an 062008_Sheet2" xfId="287"/>
    <cellStyle name="1_Book1_Goi thau so 2 (30-01-2007)" xfId="288"/>
    <cellStyle name="1_Book1_Goi thau so 2 (30-01-2007)_thanh hoa lap du an 062008" xfId="289"/>
    <cellStyle name="1_Book1_Goi thau so 2 (30-01-2007)_thanh hoa lap du an 062008_QT bieu 45 va 53 2011" xfId="290"/>
    <cellStyle name="1_Book1_Goi thau so 2 (30-01-2007)_thanh hoa lap du an 062008_Sheet2" xfId="291"/>
    <cellStyle name="1_Book1_Goi02(25-05-2006)" xfId="292"/>
    <cellStyle name="1_Book1_K C N - HUNG DONG L.NHUA" xfId="293"/>
    <cellStyle name="1_Book1_K C N - HUNG DONG L.NHUA_thanh hoa lap du an 062008" xfId="294"/>
    <cellStyle name="1_Book1_K C N - HUNG DONG L.NHUA_thanh hoa lap du an 062008_QT bieu 45 va 53 2011" xfId="295"/>
    <cellStyle name="1_Book1_K C N - HUNG DONG L.NHUA_thanh hoa lap du an 062008_Sheet2" xfId="296"/>
    <cellStyle name="1_Book1_Khoi Luong Hoang Truong - Hoang Phu" xfId="297"/>
    <cellStyle name="1_Book1_Khoi Luong Hoang Truong - Hoang Phu_thanh hoa lap du an 062008" xfId="298"/>
    <cellStyle name="1_Book1_Khoi Luong Hoang Truong - Hoang Phu_thanh hoa lap du an 062008_QT bieu 45 va 53 2011" xfId="299"/>
    <cellStyle name="1_Book1_Khoi Luong Hoang Truong - Hoang Phu_thanh hoa lap du an 062008_Sheet2" xfId="300"/>
    <cellStyle name="1_Book1_km48-53 (tham tra ngay 23-10-2006)" xfId="301"/>
    <cellStyle name="1_Book1_Muong TL" xfId="302"/>
    <cellStyle name="1_Book1_Nhap" xfId="303"/>
    <cellStyle name="1_Book1_thanh hoa lap du an 062008" xfId="304"/>
    <cellStyle name="1_Book1_thanh hoa lap du an 062008_QT bieu 45 va 53 2011" xfId="305"/>
    <cellStyle name="1_Book1_thanh hoa lap du an 062008_Sheet2" xfId="306"/>
    <cellStyle name="1_Book1_Tuyen so 1-Km0+00 - Km0+852.56" xfId="307"/>
    <cellStyle name="1_Book1_TV sua ngay 02-08-06" xfId="308"/>
    <cellStyle name="1_Book1_ÿÿÿÿÿ" xfId="309"/>
    <cellStyle name="1_C" xfId="310"/>
    <cellStyle name="1_Cau Bai Son 2 Km 0+270.26 (8-11-2006)" xfId="311"/>
    <cellStyle name="1_Cau Hoi 115" xfId="312"/>
    <cellStyle name="1_Cau Hoi 115_thanh hoa lap du an 062008" xfId="313"/>
    <cellStyle name="1_Cau Hoi 115_thanh hoa lap du an 062008_QT bieu 45 va 53 2011" xfId="314"/>
    <cellStyle name="1_Cau Hoi 115_thanh hoa lap du an 062008_Sheet2" xfId="315"/>
    <cellStyle name="1_Cau Hua Trai (TT 04)" xfId="316"/>
    <cellStyle name="1_Cau My Thinh sua theo don gia 59 (19-5-07)" xfId="317"/>
    <cellStyle name="1_Cau Nam Tot(ngay 2-10-2006)" xfId="318"/>
    <cellStyle name="1_Cau Nam Tot(ngay 2-10-2006)_thanh hoa lap du an 062008" xfId="319"/>
    <cellStyle name="1_Cau Nam Tot(ngay 2-10-2006)_thanh hoa lap du an 062008_QT bieu 45 va 53 2011" xfId="320"/>
    <cellStyle name="1_Cau Nam Tot(ngay 2-10-2006)_thanh hoa lap du an 062008_Sheet2" xfId="321"/>
    <cellStyle name="1_Cau Song Dao Km 1+51.54 (20-12-2006)" xfId="322"/>
    <cellStyle name="1_Cau Thanh Ha 1" xfId="323"/>
    <cellStyle name="1_Cau thuy dien Ban La (Cu Anh)" xfId="324"/>
    <cellStyle name="1_Cau thuy dien Ban La (Cu Anh)_thanh hoa lap du an 062008" xfId="325"/>
    <cellStyle name="1_Cau thuy dien Ban La (Cu Anh)_thanh hoa lap du an 062008_QT bieu 45 va 53 2011" xfId="326"/>
    <cellStyle name="1_Cau thuy dien Ban La (Cu Anh)_thanh hoa lap du an 062008_Sheet2" xfId="327"/>
    <cellStyle name="1_CAU XOP XANG II(su­a)" xfId="328"/>
    <cellStyle name="1_caucong" xfId="329"/>
    <cellStyle name="1_Chau Thon - Tan Xuan (goi 5)" xfId="330"/>
    <cellStyle name="1_Chau Thon - Tan Xuan (KCS 8-12-06)" xfId="331"/>
    <cellStyle name="1_Chi phi KS" xfId="332"/>
    <cellStyle name="1_Chi tieu su nghiep VHXH 2009 chi tiet_01_12qh3t12" xfId="333"/>
    <cellStyle name="1_Chinhthuc_Dongquyen_NLN" xfId="334"/>
    <cellStyle name="1_ChiTieu_KeHoach_2009" xfId="335"/>
    <cellStyle name="1_cong" xfId="336"/>
    <cellStyle name="1_cu ly van chuyen" xfId="337"/>
    <cellStyle name="1_Dakt-Cau tinh Hua Phan" xfId="338"/>
    <cellStyle name="1_Danhmuc_Quyhoach2009" xfId="339"/>
    <cellStyle name="1_DIEN" xfId="340"/>
    <cellStyle name="1_Dieu phoi dat goi 1" xfId="341"/>
    <cellStyle name="1_Dieu phoi dat goi 1_thanh hoa lap du an 062008" xfId="342"/>
    <cellStyle name="1_Dieu phoi dat goi 1_thanh hoa lap du an 062008_QT bieu 45 va 53 2011" xfId="343"/>
    <cellStyle name="1_Dieu phoi dat goi 1_thanh hoa lap du an 062008_Sheet2" xfId="344"/>
    <cellStyle name="1_Dieu phoi dat goi 2" xfId="345"/>
    <cellStyle name="1_Dieu phoi dat goi 2_thanh hoa lap du an 062008" xfId="346"/>
    <cellStyle name="1_Dieu phoi dat goi 2_thanh hoa lap du an 062008_QT bieu 45 va 53 2011" xfId="347"/>
    <cellStyle name="1_Dieu phoi dat goi 2_thanh hoa lap du an 062008_Sheet2" xfId="348"/>
    <cellStyle name="1_Dinh muc thiet ke" xfId="349"/>
    <cellStyle name="1_Don gia KS247" xfId="350"/>
    <cellStyle name="1_DONGIA" xfId="351"/>
    <cellStyle name="1_DT Chau Hong  trinh ngay 09-01-07" xfId="352"/>
    <cellStyle name="1_DT Chau Hong  trinh ngay 09-01-07_thanh hoa lap du an 062008" xfId="353"/>
    <cellStyle name="1_DT Chau Hong  trinh ngay 09-01-07_thanh hoa lap du an 062008_QT bieu 45 va 53 2011" xfId="354"/>
    <cellStyle name="1_DT Chau Hong  trinh ngay 09-01-07_thanh hoa lap du an 062008_Sheet2" xfId="355"/>
    <cellStyle name="1_DT Kha thi ngay 11-2-06" xfId="356"/>
    <cellStyle name="1_DT KT ngay 10-9-2005" xfId="357"/>
    <cellStyle name="1_DT ngay 04-01-2006" xfId="358"/>
    <cellStyle name="1_DT ngay 04-01-2006_thanh hoa lap du an 062008" xfId="359"/>
    <cellStyle name="1_DT ngay 04-01-2006_thanh hoa lap du an 062008_QT bieu 45 va 53 2011" xfId="360"/>
    <cellStyle name="1_DT ngay 04-01-2006_thanh hoa lap du an 062008_Sheet2" xfId="361"/>
    <cellStyle name="1_DT ngay 11-4-2006" xfId="362"/>
    <cellStyle name="1_DT ngay 11-4-2006_thanh hoa lap du an 062008" xfId="363"/>
    <cellStyle name="1_DT ngay 11-4-2006_thanh hoa lap du an 062008_QT bieu 45 va 53 2011" xfId="364"/>
    <cellStyle name="1_DT ngay 11-4-2006_thanh hoa lap du an 062008_Sheet2" xfId="365"/>
    <cellStyle name="1_DT ngay 15-11-05" xfId="366"/>
    <cellStyle name="1_DT theo DM24" xfId="367"/>
    <cellStyle name="1_DT theo DM24_thanh hoa lap du an 062008" xfId="368"/>
    <cellStyle name="1_DT theo DM24_thanh hoa lap du an 062008_QT bieu 45 va 53 2011" xfId="369"/>
    <cellStyle name="1_DT theo DM24_thanh hoa lap du an 062008_Sheet2" xfId="370"/>
    <cellStyle name="1_DT-497" xfId="371"/>
    <cellStyle name="1_DT-497_thanh hoa lap du an 062008" xfId="372"/>
    <cellStyle name="1_DT-497_thanh hoa lap du an 062008_QT bieu 45 va 53 2011" xfId="373"/>
    <cellStyle name="1_DT-497_thanh hoa lap du an 062008_Sheet2" xfId="374"/>
    <cellStyle name="1_DT-Khao-s¸t-TD" xfId="375"/>
    <cellStyle name="1_DT-Khao-s¸t-TD_thanh hoa lap du an 062008" xfId="376"/>
    <cellStyle name="1_DT-Khao-s¸t-TD_thanh hoa lap du an 062008_QT bieu 45 va 53 2011" xfId="377"/>
    <cellStyle name="1_DT-Khao-s¸t-TD_thanh hoa lap du an 062008_Sheet2" xfId="378"/>
    <cellStyle name="1_DTXL goi 11(20-9-05)" xfId="379"/>
    <cellStyle name="1_du toan" xfId="380"/>
    <cellStyle name="1_du toan (03-11-05)" xfId="381"/>
    <cellStyle name="1_Du toan (12-05-2005) Tham dinh" xfId="382"/>
    <cellStyle name="1_Du toan (12-05-2005) Tham dinh_thanh hoa lap du an 062008" xfId="383"/>
    <cellStyle name="1_Du toan (12-05-2005) Tham dinh_thanh hoa lap du an 062008_QT bieu 45 va 53 2011" xfId="384"/>
    <cellStyle name="1_Du toan (12-05-2005) Tham dinh_thanh hoa lap du an 062008_Sheet2" xfId="385"/>
    <cellStyle name="1_Du toan (23-05-2005) Tham dinh" xfId="386"/>
    <cellStyle name="1_Du toan (23-05-2005) Tham dinh_thanh hoa lap du an 062008" xfId="387"/>
    <cellStyle name="1_Du toan (23-05-2005) Tham dinh_thanh hoa lap du an 062008_QT bieu 45 va 53 2011" xfId="388"/>
    <cellStyle name="1_Du toan (23-05-2005) Tham dinh_thanh hoa lap du an 062008_Sheet2" xfId="389"/>
    <cellStyle name="1_Du toan (5 - 04 - 2004)" xfId="390"/>
    <cellStyle name="1_Du toan (5 - 04 - 2004)_thanh hoa lap du an 062008" xfId="391"/>
    <cellStyle name="1_Du toan (5 - 04 - 2004)_thanh hoa lap du an 062008_QT bieu 45 va 53 2011" xfId="392"/>
    <cellStyle name="1_Du toan (5 - 04 - 2004)_thanh hoa lap du an 062008_Sheet2" xfId="393"/>
    <cellStyle name="1_Du toan (6-3-2005)" xfId="394"/>
    <cellStyle name="1_Du toan (Ban A)" xfId="395"/>
    <cellStyle name="1_Du toan (Ban A)_thanh hoa lap du an 062008" xfId="396"/>
    <cellStyle name="1_Du toan (Ban A)_thanh hoa lap du an 062008_QT bieu 45 va 53 2011" xfId="397"/>
    <cellStyle name="1_Du toan (Ban A)_thanh hoa lap du an 062008_Sheet2" xfId="398"/>
    <cellStyle name="1_Du toan (ngay 13 - 07 - 2004)" xfId="399"/>
    <cellStyle name="1_Du toan (ngay 13 - 07 - 2004)_thanh hoa lap du an 062008" xfId="400"/>
    <cellStyle name="1_Du toan (ngay 13 - 07 - 2004)_thanh hoa lap du an 062008_QT bieu 45 va 53 2011" xfId="401"/>
    <cellStyle name="1_Du toan (ngay 13 - 07 - 2004)_thanh hoa lap du an 062008_Sheet2" xfId="402"/>
    <cellStyle name="1_Du toan (ngay 25-9-06)" xfId="403"/>
    <cellStyle name="1_Du toan (ngay03-02-07) theo DG moi" xfId="404"/>
    <cellStyle name="1_Du toan 558 (Km17+508.12 - Km 22)" xfId="405"/>
    <cellStyle name="1_Du toan 558 (Km17+508.12 - Km 22)_thanh hoa lap du an 062008" xfId="406"/>
    <cellStyle name="1_Du toan 558 (Km17+508.12 - Km 22)_thanh hoa lap du an 062008_QT bieu 45 va 53 2011" xfId="407"/>
    <cellStyle name="1_Du toan 558 (Km17+508.12 - Km 22)_thanh hoa lap du an 062008_Sheet2" xfId="408"/>
    <cellStyle name="1_Du toan bo sung (11-2004)" xfId="409"/>
    <cellStyle name="1_Du toan Cang Vung Ang (Tham tra 3-11-06)" xfId="410"/>
    <cellStyle name="1_Du toan Cang Vung Ang (Tham tra 3-11-06)_thanh hoa lap du an 062008" xfId="411"/>
    <cellStyle name="1_Du toan Cang Vung Ang (Tham tra 3-11-06)_thanh hoa lap du an 062008_QT bieu 45 va 53 2011" xfId="412"/>
    <cellStyle name="1_Du toan Cang Vung Ang (Tham tra 3-11-06)_thanh hoa lap du an 062008_Sheet2" xfId="413"/>
    <cellStyle name="1_Du toan Cang Vung Ang ngay 09-8-06 " xfId="414"/>
    <cellStyle name="1_Du toan Cang Vung Ang ngay 09-8-06 _thanh hoa lap du an 062008" xfId="415"/>
    <cellStyle name="1_Du toan Cang Vung Ang ngay 09-8-06 _thanh hoa lap du an 062008_QT bieu 45 va 53 2011" xfId="416"/>
    <cellStyle name="1_Du toan Cang Vung Ang ngay 09-8-06 _thanh hoa lap du an 062008_Sheet2" xfId="417"/>
    <cellStyle name="1_Du toan dieu chin theo don gia moi (1-2-2007)" xfId="418"/>
    <cellStyle name="1_Du toan Doan Km 53 - 60 sua theo tham tra(15-5-2007)" xfId="419"/>
    <cellStyle name="1_Du toan Doan Km 53 - 60 sua theo tham tra(15-5-2007)_thanh hoa lap du an 062008" xfId="420"/>
    <cellStyle name="1_Du toan Doan Km 53 - 60 sua theo tham tra(15-5-2007)_thanh hoa lap du an 062008_QT bieu 45 va 53 2011" xfId="421"/>
    <cellStyle name="1_Du toan Doan Km 53 - 60 sua theo tham tra(15-5-2007)_thanh hoa lap du an 062008_Sheet2" xfId="422"/>
    <cellStyle name="1_Du toan Doan Km 53 - 60 sua theo TV4 tham tra(9-6-2007)" xfId="423"/>
    <cellStyle name="1_Du toan Goi 1" xfId="424"/>
    <cellStyle name="1_Du toan Goi 1_thanh hoa lap du an 062008" xfId="425"/>
    <cellStyle name="1_Du toan Goi 1_thanh hoa lap du an 062008_QT bieu 45 va 53 2011" xfId="426"/>
    <cellStyle name="1_Du toan Goi 1_thanh hoa lap du an 062008_Sheet2" xfId="427"/>
    <cellStyle name="1_du toan goi 12" xfId="428"/>
    <cellStyle name="1_Du toan Goi 2" xfId="429"/>
    <cellStyle name="1_Du toan Goi 2_thanh hoa lap du an 062008" xfId="430"/>
    <cellStyle name="1_Du toan Goi 2_thanh hoa lap du an 062008_QT bieu 45 va 53 2011" xfId="431"/>
    <cellStyle name="1_Du toan Goi 2_thanh hoa lap du an 062008_Sheet2" xfId="432"/>
    <cellStyle name="1_Du toan Huong Lam - Ban Giang (ngay28-11-06)" xfId="433"/>
    <cellStyle name="1_Du toan Huong Lam - Ban Giang (ngay28-11-06)_thanh hoa lap du an 062008" xfId="434"/>
    <cellStyle name="1_Du toan Huong Lam - Ban Giang (ngay28-11-06)_thanh hoa lap du an 062008_QT bieu 45 va 53 2011" xfId="435"/>
    <cellStyle name="1_Du toan Huong Lam - Ban Giang (ngay28-11-06)_thanh hoa lap du an 062008_Sheet2" xfId="436"/>
    <cellStyle name="1_Du toan Huong Lam - Ban Giang theo DG 59 (ngay3-2-07)" xfId="437"/>
    <cellStyle name="1_Du toan Huong Lam - Ban Giang theo DG 59 (ngay3-2-07)_thanh hoa lap du an 062008" xfId="438"/>
    <cellStyle name="1_Du toan Huong Lam - Ban Giang theo DG 59 (ngay3-2-07)_thanh hoa lap du an 062008_QT bieu 45 va 53 2011" xfId="439"/>
    <cellStyle name="1_Du toan Huong Lam - Ban Giang theo DG 59 (ngay3-2-07)_thanh hoa lap du an 062008_Sheet2" xfId="440"/>
    <cellStyle name="1_Du toan khao sat don 553 (da sua 16.5.08)" xfId="441"/>
    <cellStyle name="1_Du toan KT-TCsua theo TT 03 - YC 471" xfId="442"/>
    <cellStyle name="1_Du toan KT-TCsua theo TT 03 - YC 471_thanh hoa lap du an 062008" xfId="443"/>
    <cellStyle name="1_Du toan KT-TCsua theo TT 03 - YC 471_thanh hoa lap du an 062008_QT bieu 45 va 53 2011" xfId="444"/>
    <cellStyle name="1_Du toan KT-TCsua theo TT 03 - YC 471_thanh hoa lap du an 062008_Sheet2" xfId="445"/>
    <cellStyle name="1_Du toan ngay (28-10-2005)" xfId="446"/>
    <cellStyle name="1_Du toan ngay (28-10-2005)_thanh hoa lap du an 062008" xfId="447"/>
    <cellStyle name="1_Du toan ngay (28-10-2005)_thanh hoa lap du an 062008_QT bieu 45 va 53 2011" xfId="448"/>
    <cellStyle name="1_Du toan ngay (28-10-2005)_thanh hoa lap du an 062008_Sheet2" xfId="449"/>
    <cellStyle name="1_Du toan ngay 16-4-2007" xfId="450"/>
    <cellStyle name="1_Du toan ngay 1-9-2004 (version 1)" xfId="451"/>
    <cellStyle name="1_Du toan ngay 1-9-2004 (version 1)_thanh hoa lap du an 062008" xfId="452"/>
    <cellStyle name="1_Du toan ngay 1-9-2004 (version 1)_thanh hoa lap du an 062008_QT bieu 45 va 53 2011" xfId="453"/>
    <cellStyle name="1_Du toan ngay 1-9-2004 (version 1)_thanh hoa lap du an 062008_Sheet2" xfId="454"/>
    <cellStyle name="1_Du toan Phuong lam" xfId="455"/>
    <cellStyle name="1_Du toan QL 27 (23-12-2005)" xfId="456"/>
    <cellStyle name="1_Du toan QL 27 (23-12-2005)_thanh hoa lap du an 062008" xfId="457"/>
    <cellStyle name="1_Du toan QL 27 (23-12-2005)_thanh hoa lap du an 062008_QT bieu 45 va 53 2011" xfId="458"/>
    <cellStyle name="1_Du toan QL 27 (23-12-2005)_thanh hoa lap du an 062008_Sheet2" xfId="459"/>
    <cellStyle name="1_Du toan Tay Thanh Hoa duyetcuoi" xfId="460"/>
    <cellStyle name="1_Du toan Tay Thanh Hoa duyetcuoi_thanh hoa lap du an 062008" xfId="461"/>
    <cellStyle name="1_Du toan Tay Thanh Hoa duyetcuoi_thanh hoa lap du an 062008_QT bieu 45 va 53 2011" xfId="462"/>
    <cellStyle name="1_Du toan Tay Thanh Hoa duyetcuoi_thanh hoa lap du an 062008_Sheet2" xfId="463"/>
    <cellStyle name="1_du_toan_HG01(theo tham tra06062007)" xfId="464"/>
    <cellStyle name="1_Du_toan_Ho_Xa___Vinh_Tan_WB3 sua ngay 18-8-06" xfId="465"/>
    <cellStyle name="1_Du_toan_Ho_Xa___Vinh_Tan_WB3 sua ngay 18-8-06_thanh hoa lap du an 062008" xfId="466"/>
    <cellStyle name="1_Du_toan_Ho_Xa___Vinh_Tan_WB3 sua ngay 18-8-06_thanh hoa lap du an 062008_QT bieu 45 va 53 2011" xfId="467"/>
    <cellStyle name="1_Du_toan_Ho_Xa___Vinh_Tan_WB3 sua ngay 18-8-06_thanh hoa lap du an 062008_Sheet2" xfId="468"/>
    <cellStyle name="1_DuAnKT ngay 11-2-2006" xfId="469"/>
    <cellStyle name="1_DuAnKT ngay 11-2-2006_thanh hoa lap du an 062008" xfId="470"/>
    <cellStyle name="1_DuAnKT ngay 11-2-2006_thanh hoa lap du an 062008_QT bieu 45 va 53 2011" xfId="471"/>
    <cellStyle name="1_DuAnKT ngay 11-2-2006_thanh hoa lap du an 062008_Sheet2" xfId="472"/>
    <cellStyle name="1_Gia_VL cau-JIBIC-Ha-tinh" xfId="473"/>
    <cellStyle name="1_Gia_VL cau-JIBIC-Ha-tinh_thanh hoa lap du an 062008" xfId="474"/>
    <cellStyle name="1_Gia_VL cau-JIBIC-Ha-tinh_thanh hoa lap du an 062008_QT bieu 45 va 53 2011" xfId="475"/>
    <cellStyle name="1_Gia_VL cau-JIBIC-Ha-tinh_thanh hoa lap du an 062008_Sheet2" xfId="476"/>
    <cellStyle name="1_Gia_VLQL48_duyet " xfId="477"/>
    <cellStyle name="1_Gia_VLQL48_duyet _thanh hoa lap du an 062008" xfId="478"/>
    <cellStyle name="1_Gia_VLQL48_duyet _thanh hoa lap du an 062008_QT bieu 45 va 53 2011" xfId="479"/>
    <cellStyle name="1_Gia_VLQL48_duyet _thanh hoa lap du an 062008_Sheet2" xfId="480"/>
    <cellStyle name="1_goi 1" xfId="481"/>
    <cellStyle name="1_Goi 1 (TT04)" xfId="482"/>
    <cellStyle name="1_goi 1 duyet theo luong mo (an)" xfId="483"/>
    <cellStyle name="1_Goi 1_1" xfId="484"/>
    <cellStyle name="1_Goi 1_1_thanh hoa lap du an 062008" xfId="485"/>
    <cellStyle name="1_Goi 1_1_thanh hoa lap du an 062008_QT bieu 45 va 53 2011" xfId="486"/>
    <cellStyle name="1_Goi 1_1_thanh hoa lap du an 062008_Sheet2" xfId="487"/>
    <cellStyle name="1_Goi so 1" xfId="488"/>
    <cellStyle name="1_Goi thau so 08 (11-05-2007)" xfId="489"/>
    <cellStyle name="1_Goi thau so 1 (14-12-2006)" xfId="490"/>
    <cellStyle name="1_Goi thau so 2 (20-6-2006)" xfId="491"/>
    <cellStyle name="1_Goi02(25-05-2006)" xfId="492"/>
    <cellStyle name="1_Goi02(25-05-2006)_thanh hoa lap du an 062008" xfId="493"/>
    <cellStyle name="1_Goi02(25-05-2006)_thanh hoa lap du an 062008_QT bieu 45 va 53 2011" xfId="494"/>
    <cellStyle name="1_Goi02(25-05-2006)_thanh hoa lap du an 062008_Sheet2" xfId="495"/>
    <cellStyle name="1_Goi1N206" xfId="496"/>
    <cellStyle name="1_Goi1N206_thanh hoa lap du an 062008" xfId="497"/>
    <cellStyle name="1_Goi1N206_thanh hoa lap du an 062008_QT bieu 45 va 53 2011" xfId="498"/>
    <cellStyle name="1_Goi1N206_thanh hoa lap du an 062008_Sheet2" xfId="499"/>
    <cellStyle name="1_Goi2N206" xfId="500"/>
    <cellStyle name="1_Goi2N206_thanh hoa lap du an 062008" xfId="501"/>
    <cellStyle name="1_Goi2N206_thanh hoa lap du an 062008_QT bieu 45 va 53 2011" xfId="502"/>
    <cellStyle name="1_Goi2N206_thanh hoa lap du an 062008_Sheet2" xfId="503"/>
    <cellStyle name="1_Goi4N216" xfId="504"/>
    <cellStyle name="1_Goi4N216_thanh hoa lap du an 062008" xfId="505"/>
    <cellStyle name="1_Goi4N216_thanh hoa lap du an 062008_QT bieu 45 va 53 2011" xfId="506"/>
    <cellStyle name="1_Goi4N216_thanh hoa lap du an 062008_Sheet2" xfId="507"/>
    <cellStyle name="1_Goi5N216" xfId="508"/>
    <cellStyle name="1_Goi5N216_thanh hoa lap du an 062008" xfId="509"/>
    <cellStyle name="1_Goi5N216_thanh hoa lap du an 062008_QT bieu 45 va 53 2011" xfId="510"/>
    <cellStyle name="1_Goi5N216_thanh hoa lap du an 062008_Sheet2" xfId="511"/>
    <cellStyle name="1_Hoi Song" xfId="512"/>
    <cellStyle name="1_HT-LO" xfId="513"/>
    <cellStyle name="1_HT-LO_thanh hoa lap du an 062008" xfId="514"/>
    <cellStyle name="1_HT-LO_thanh hoa lap du an 062008_QT bieu 45 va 53 2011" xfId="515"/>
    <cellStyle name="1_HT-LO_thanh hoa lap du an 062008_Sheet2" xfId="516"/>
    <cellStyle name="1_Huong Lam - Ban Giang (11-4-2007)" xfId="517"/>
    <cellStyle name="1_Huong Lam - Ban Giang (11-4-2007)_thanh hoa lap du an 062008" xfId="518"/>
    <cellStyle name="1_Huong Lam - Ban Giang (11-4-2007)_thanh hoa lap du an 062008_QT bieu 45 va 53 2011" xfId="519"/>
    <cellStyle name="1_Huong Lam - Ban Giang (11-4-2007)_thanh hoa lap du an 062008_Sheet2" xfId="520"/>
    <cellStyle name="1_KH trien khai von 2006-2010  &amp; 2007 theo QD313 _13.6.07" xfId="521"/>
    <cellStyle name="1_KH Von Dieu tra CBMT 2009ngay3t12qh4t12" xfId="522"/>
    <cellStyle name="1_KH_2009_CongThuong" xfId="523"/>
    <cellStyle name="1_KH_SXNL_2009" xfId="524"/>
    <cellStyle name="1_Khoi luong" xfId="525"/>
    <cellStyle name="1_Khoi luong doan 1" xfId="526"/>
    <cellStyle name="1_Khoi luong doan 1_thanh hoa lap du an 062008" xfId="527"/>
    <cellStyle name="1_Khoi luong doan 1_thanh hoa lap du an 062008_QT bieu 45 va 53 2011" xfId="528"/>
    <cellStyle name="1_Khoi luong doan 1_thanh hoa lap du an 062008_Sheet2" xfId="529"/>
    <cellStyle name="1_Khoi luong doan 2" xfId="530"/>
    <cellStyle name="1_Khoi luong doan 2_thanh hoa lap du an 062008" xfId="531"/>
    <cellStyle name="1_Khoi luong doan 2_thanh hoa lap du an 062008_QT bieu 45 va 53 2011" xfId="532"/>
    <cellStyle name="1_Khoi luong doan 2_thanh hoa lap du an 062008_Sheet2" xfId="533"/>
    <cellStyle name="1_Khoi Luong Hoang Truong - Hoang Phu" xfId="534"/>
    <cellStyle name="1_Khoi Luong Hoang Truong - Hoang Phu_thanh hoa lap du an 062008" xfId="535"/>
    <cellStyle name="1_Khoi Luong Hoang Truong - Hoang Phu_thanh hoa lap du an 062008_QT bieu 45 va 53 2011" xfId="536"/>
    <cellStyle name="1_Khoi Luong Hoang Truong - Hoang Phu_thanh hoa lap du an 062008_Sheet2" xfId="537"/>
    <cellStyle name="1_Khoi luong_thanh hoa lap du an 062008" xfId="538"/>
    <cellStyle name="1_Khoi luong_thanh hoa lap du an 062008_QT bieu 45 va 53 2011" xfId="539"/>
    <cellStyle name="1_Khoi luong_thanh hoa lap du an 062008_Sheet2" xfId="540"/>
    <cellStyle name="1_KHXDCB_2009_ HDND" xfId="541"/>
    <cellStyle name="1_Kiennghi_TTCP" xfId="542"/>
    <cellStyle name="1_Kiennghi_TTCP_Bosung" xfId="543"/>
    <cellStyle name="1_Kiennghi_TTCP_Bosung_lan2" xfId="544"/>
    <cellStyle name="1_Kiennghibosungvon_TTCP_2" xfId="545"/>
    <cellStyle name="1_KL" xfId="546"/>
    <cellStyle name="1_KL_Cau My Thinh sua theo don gia 59 (19-5-07)" xfId="547"/>
    <cellStyle name="1_KL_Cau My Thinh sua theo don gia 59 (19-5-07)_thanh hoa lap du an 062008" xfId="548"/>
    <cellStyle name="1_KL_Cau My Thinh sua theo don gia 59 (19-5-07)_thanh hoa lap du an 062008_QT bieu 45 va 53 2011" xfId="549"/>
    <cellStyle name="1_KL_Cau My Thinh sua theo don gia 59 (19-5-07)_thanh hoa lap du an 062008_Sheet2" xfId="550"/>
    <cellStyle name="1_Kl_DT_Tham_Dinh_497_16-4-07" xfId="551"/>
    <cellStyle name="1_KL_DT-497" xfId="552"/>
    <cellStyle name="1_KL_DT-497_thanh hoa lap du an 062008" xfId="553"/>
    <cellStyle name="1_KL_DT-497_thanh hoa lap du an 062008_QT bieu 45 va 53 2011" xfId="554"/>
    <cellStyle name="1_KL_DT-497_thanh hoa lap du an 062008_Sheet2" xfId="555"/>
    <cellStyle name="1_KL_DT-Khao-s¸t-TD" xfId="556"/>
    <cellStyle name="1_KL_DT-Khao-s¸t-TD_thanh hoa lap du an 062008" xfId="557"/>
    <cellStyle name="1_KL_DT-Khao-s¸t-TD_thanh hoa lap du an 062008_QT bieu 45 va 53 2011" xfId="558"/>
    <cellStyle name="1_KL_DT-Khao-s¸t-TD_thanh hoa lap du an 062008_Sheet2" xfId="559"/>
    <cellStyle name="1_KL_Huong Lam - Ban Giang (11-4-2007)" xfId="560"/>
    <cellStyle name="1_KL_Huong Lam - Ban Giang (11-4-2007)_thanh hoa lap du an 062008" xfId="561"/>
    <cellStyle name="1_KL_Huong Lam - Ban Giang (11-4-2007)_thanh hoa lap du an 062008_QT bieu 45 va 53 2011" xfId="562"/>
    <cellStyle name="1_KL_Huong Lam - Ban Giang (11-4-2007)_thanh hoa lap du an 062008_Sheet2" xfId="563"/>
    <cellStyle name="1_KL_thanh hoa lap du an 062008" xfId="564"/>
    <cellStyle name="1_KL_thanh hoa lap du an 062008_QT bieu 45 va 53 2011" xfId="565"/>
    <cellStyle name="1_KL_thanh hoa lap du an 062008_Sheet2" xfId="566"/>
    <cellStyle name="1_Kl6-6-05" xfId="567"/>
    <cellStyle name="1_KLCongTh" xfId="568"/>
    <cellStyle name="1_Kldoan3" xfId="569"/>
    <cellStyle name="1_Kldoan3_thanh hoa lap du an 062008" xfId="570"/>
    <cellStyle name="1_Kldoan3_thanh hoa lap du an 062008_QT bieu 45 va 53 2011" xfId="571"/>
    <cellStyle name="1_Kldoan3_thanh hoa lap du an 062008_Sheet2" xfId="572"/>
    <cellStyle name="1_KLhoxa" xfId="573"/>
    <cellStyle name="1_Klnutgiao" xfId="574"/>
    <cellStyle name="1_KLPA2s" xfId="575"/>
    <cellStyle name="1_KlQdinhduyet" xfId="576"/>
    <cellStyle name="1_KlQdinhduyet_thanh hoa lap du an 062008" xfId="577"/>
    <cellStyle name="1_KlQdinhduyet_thanh hoa lap du an 062008_QT bieu 45 va 53 2011" xfId="578"/>
    <cellStyle name="1_KlQdinhduyet_thanh hoa lap du an 062008_Sheet2" xfId="579"/>
    <cellStyle name="1_KlQL4goi5KCS" xfId="580"/>
    <cellStyle name="1_Kltayth" xfId="581"/>
    <cellStyle name="1_KltaythQDduyet" xfId="582"/>
    <cellStyle name="1_Kluong4-2004" xfId="583"/>
    <cellStyle name="1_Kluong4-2004_thanh hoa lap du an 062008" xfId="584"/>
    <cellStyle name="1_Kluong4-2004_thanh hoa lap du an 062008_QT bieu 45 va 53 2011" xfId="585"/>
    <cellStyle name="1_Kluong4-2004_thanh hoa lap du an 062008_Sheet2" xfId="586"/>
    <cellStyle name="1_Km 48 - 53 (sua nap TVTT 6-7-2007)" xfId="587"/>
    <cellStyle name="1_Km 48 - 53 (sua nap TVTT 6-7-2007)_thanh hoa lap du an 062008" xfId="588"/>
    <cellStyle name="1_Km 48 - 53 (sua nap TVTT 6-7-2007)_thanh hoa lap du an 062008_QT bieu 45 va 53 2011" xfId="589"/>
    <cellStyle name="1_Km 48 - 53 (sua nap TVTT 6-7-2007)_thanh hoa lap du an 062008_Sheet2" xfId="590"/>
    <cellStyle name="1_Km2" xfId="591"/>
    <cellStyle name="1_Km3" xfId="592"/>
    <cellStyle name="1_km4-6" xfId="593"/>
    <cellStyle name="1_km48-53 (tham tra ngay 23-10-2006)" xfId="594"/>
    <cellStyle name="1_km48-53 (tham tra ngay 23-10-2006)_thanh hoa lap du an 062008" xfId="595"/>
    <cellStyle name="1_km48-53 (tham tra ngay 23-10-2006)_thanh hoa lap du an 062008_QT bieu 45 va 53 2011" xfId="596"/>
    <cellStyle name="1_km48-53 (tham tra ngay 23-10-2006)_thanh hoa lap du an 062008_Sheet2" xfId="597"/>
    <cellStyle name="1_km48-53 (tham tra ngay 23-10-2006)theo gi¸ ca m¸y míi" xfId="598"/>
    <cellStyle name="1_km48-53 (tham tra ngay 23-10-2006)theo gi¸ ca m¸y míi_thanh hoa lap du an 062008" xfId="599"/>
    <cellStyle name="1_km48-53 (tham tra ngay 23-10-2006)theo gi¸ ca m¸y míi_thanh hoa lap du an 062008_QT bieu 45 va 53 2011" xfId="600"/>
    <cellStyle name="1_km48-53 (tham tra ngay 23-10-2006)theo gi¸ ca m¸y míi_thanh hoa lap du an 062008_Sheet2" xfId="601"/>
    <cellStyle name="1_Luong A6" xfId="602"/>
    <cellStyle name="1_maugiacotaluy" xfId="603"/>
    <cellStyle name="1_My Thanh Son Thanh" xfId="604"/>
    <cellStyle name="1_Nenmat" xfId="605"/>
    <cellStyle name="1_Nhap" xfId="606"/>
    <cellStyle name="1_Nhom I" xfId="607"/>
    <cellStyle name="1_Nhom I_thanh hoa lap du an 062008" xfId="608"/>
    <cellStyle name="1_Nhom I_thanh hoa lap du an 062008_QT bieu 45 va 53 2011" xfId="609"/>
    <cellStyle name="1_Nhom I_thanh hoa lap du an 062008_Sheet2" xfId="610"/>
    <cellStyle name="1_Phanbotindung_2009_KH" xfId="611"/>
    <cellStyle name="1_Phu luc KS" xfId="612"/>
    <cellStyle name="1_phu luc thoi gian kiem tra cac du an 8-2007" xfId="613"/>
    <cellStyle name="1_Project N.Du" xfId="614"/>
    <cellStyle name="1_Project N.Du.dien" xfId="615"/>
    <cellStyle name="1_Project N.Du_thanh hoa lap du an 062008" xfId="616"/>
    <cellStyle name="1_Project N.Du_thanh hoa lap du an 062008_QT bieu 45 va 53 2011" xfId="617"/>
    <cellStyle name="1_Project N.Du_thanh hoa lap du an 062008_Sheet2" xfId="618"/>
    <cellStyle name="1_Project QL4" xfId="619"/>
    <cellStyle name="1_Project QL4 goi 7" xfId="620"/>
    <cellStyle name="1_Project QL4 goi 7_thanh hoa lap du an 062008" xfId="621"/>
    <cellStyle name="1_Project QL4 goi 7_thanh hoa lap du an 062008_QT bieu 45 va 53 2011" xfId="622"/>
    <cellStyle name="1_Project QL4 goi 7_thanh hoa lap du an 062008_Sheet2" xfId="623"/>
    <cellStyle name="1_Project QL4 goi5" xfId="624"/>
    <cellStyle name="1_Project QL4 goi8" xfId="625"/>
    <cellStyle name="1_QL1A-SUA2005" xfId="626"/>
    <cellStyle name="1_QL1A-SUA2005_thanh hoa lap du an 062008" xfId="627"/>
    <cellStyle name="1_QL1A-SUA2005_thanh hoa lap du an 062008_QT bieu 45 va 53 2011" xfId="628"/>
    <cellStyle name="1_QL1A-SUA2005_thanh hoa lap du an 062008_Sheet2" xfId="629"/>
    <cellStyle name="1_Sheet1" xfId="630"/>
    <cellStyle name="1_Sheet1_Cau My Thinh sua theo don gia 59 (19-5-07)" xfId="631"/>
    <cellStyle name="1_Sheet1_DT_Tham_Dinh_497_16-4-07" xfId="632"/>
    <cellStyle name="1_Sheet1_DT-497" xfId="633"/>
    <cellStyle name="1_Sheet1_DT-Khao-s¸t-TD" xfId="634"/>
    <cellStyle name="1_Sheet1_Huong Lam - Ban Giang (11-4-2007)" xfId="635"/>
    <cellStyle name="1_SuoiTon" xfId="636"/>
    <cellStyle name="1_SuoiTon_thanh hoa lap du an 062008" xfId="637"/>
    <cellStyle name="1_SuoiTon_thanh hoa lap du an 062008_QT bieu 45 va 53 2011" xfId="638"/>
    <cellStyle name="1_SuoiTon_thanh hoa lap du an 062008_Sheet2" xfId="639"/>
    <cellStyle name="1_t" xfId="640"/>
    <cellStyle name="1_TamkhoanKSDH" xfId="641"/>
    <cellStyle name="1_Tay THoa" xfId="642"/>
    <cellStyle name="1_Tay THoa_thanh hoa lap du an 062008" xfId="643"/>
    <cellStyle name="1_Tay THoa_thanh hoa lap du an 062008_QT bieu 45 va 53 2011" xfId="644"/>
    <cellStyle name="1_Tay THoa_thanh hoa lap du an 062008_Sheet2" xfId="645"/>
    <cellStyle name="1_TH in" xfId="646"/>
    <cellStyle name="1_Tham tra (8-11)1" xfId="647"/>
    <cellStyle name="1_Tham tra (8-11)1_thanh hoa lap du an 062008" xfId="648"/>
    <cellStyle name="1_Tham tra (8-11)1_thanh hoa lap du an 062008_QT bieu 45 va 53 2011" xfId="649"/>
    <cellStyle name="1_Tham tra (8-11)1_thanh hoa lap du an 062008_Sheet2" xfId="650"/>
    <cellStyle name="1_THDA" xfId="651"/>
    <cellStyle name="1_THkl" xfId="652"/>
    <cellStyle name="1_THkl_thanh hoa lap du an 062008" xfId="653"/>
    <cellStyle name="1_THkl_thanh hoa lap du an 062008_QT bieu 45 va 53 2011" xfId="654"/>
    <cellStyle name="1_THkl_thanh hoa lap du an 062008_Sheet2" xfId="655"/>
    <cellStyle name="1_THklpa2" xfId="656"/>
    <cellStyle name="1_THklpa2_thanh hoa lap du an 062008" xfId="657"/>
    <cellStyle name="1_THklpa2_thanh hoa lap du an 062008_QT bieu 45 va 53 2011" xfId="658"/>
    <cellStyle name="1_THklpa2_thanh hoa lap du an 062008_Sheet2" xfId="659"/>
    <cellStyle name="1_TMDTluong_540000(1)" xfId="660"/>
    <cellStyle name="1_Tong hop DT dieu chinh duong 38-95" xfId="661"/>
    <cellStyle name="1_Tong hop khoi luong duong 557 (30-5-2006)" xfId="662"/>
    <cellStyle name="1_Tong muc dau tu" xfId="663"/>
    <cellStyle name="1_TRUNG PMU 5" xfId="664"/>
    <cellStyle name="1_Tuyen so 1-Km0+00 - Km0+852.56" xfId="665"/>
    <cellStyle name="1_Tuyen so 1-Km0+00 - Km0+852.56_thanh hoa lap du an 062008" xfId="666"/>
    <cellStyle name="1_Tuyen so 1-Km0+00 - Km0+852.56_thanh hoa lap du an 062008_QT bieu 45 va 53 2011" xfId="667"/>
    <cellStyle name="1_Tuyen so 1-Km0+00 - Km0+852.56_thanh hoa lap du an 062008_Sheet2" xfId="668"/>
    <cellStyle name="1_TV sua ngay 02-08-06" xfId="669"/>
    <cellStyle name="1_TV sua ngay 02-08-06_thanh hoa lap du an 062008" xfId="670"/>
    <cellStyle name="1_TV sua ngay 02-08-06_thanh hoa lap du an 062008_QT bieu 45 va 53 2011" xfId="671"/>
    <cellStyle name="1_TV sua ngay 02-08-06_thanh hoa lap du an 062008_Sheet2" xfId="672"/>
    <cellStyle name="1_VatLieu 3 cau -NA" xfId="673"/>
    <cellStyle name="1_VatLieu 3 cau -NA_thanh hoa lap du an 062008" xfId="674"/>
    <cellStyle name="1_VatLieu 3 cau -NA_thanh hoa lap du an 062008_QT bieu 45 va 53 2011" xfId="675"/>
    <cellStyle name="1_VatLieu 3 cau -NA_thanh hoa lap du an 062008_Sheet2" xfId="676"/>
    <cellStyle name="1_ÿÿÿÿÿ" xfId="677"/>
    <cellStyle name="1_ÿÿÿÿÿ_1" xfId="678"/>
    <cellStyle name="1_ÿÿÿÿÿ_1_thanh hoa lap du an 062008" xfId="679"/>
    <cellStyle name="1_ÿÿÿÿÿ_1_thanh hoa lap du an 062008_QT bieu 45 va 53 2011" xfId="680"/>
    <cellStyle name="1_ÿÿÿÿÿ_1_thanh hoa lap du an 062008_Sheet2" xfId="681"/>
    <cellStyle name="1_ÿÿÿÿÿ_Book1" xfId="682"/>
    <cellStyle name="1_ÿÿÿÿÿ_Book1_Cau My Thinh sua theo don gia 59 (19-5-07)" xfId="683"/>
    <cellStyle name="1_ÿÿÿÿÿ_Book1_DT_Tham_Dinh_497_16-4-07" xfId="684"/>
    <cellStyle name="1_ÿÿÿÿÿ_Book1_DT-497" xfId="685"/>
    <cellStyle name="1_ÿÿÿÿÿ_Book1_DT-Khao-s¸t-TD" xfId="686"/>
    <cellStyle name="1_ÿÿÿÿÿ_Book1_Huong Lam - Ban Giang (11-4-2007)" xfId="687"/>
    <cellStyle name="1_ÿÿÿÿÿ_Cau My Thinh sua theo don gia 59 (19-5-07)" xfId="688"/>
    <cellStyle name="1_ÿÿÿÿÿ_DT_Tham_Dinh_497_16-4-07" xfId="689"/>
    <cellStyle name="1_ÿÿÿÿÿ_DT-497" xfId="690"/>
    <cellStyle name="1_ÿÿÿÿÿ_DT-Khao-s¸t-TD" xfId="691"/>
    <cellStyle name="1_ÿÿÿÿÿ_Huong Lam - Ban Giang (11-4-2007)" xfId="692"/>
    <cellStyle name="1_ÿÿÿÿÿ_phu luc klksht" xfId="693"/>
    <cellStyle name="1_ÿÿÿÿÿ_Tong hop DT dieu chinh duong 38-95" xfId="694"/>
    <cellStyle name="_x0001_1¼„½(" xfId="695"/>
    <cellStyle name="_x0001_1¼½(" xfId="696"/>
    <cellStyle name="18" xfId="697"/>
    <cellStyle name="¹éºÐÀ²_      " xfId="698"/>
    <cellStyle name="2" xfId="699"/>
    <cellStyle name="2_6.Bang_luong_moi_XDCB" xfId="700"/>
    <cellStyle name="2_A che do KS +chi BQL" xfId="701"/>
    <cellStyle name="2_BANG CAM COC GPMB 8km" xfId="702"/>
    <cellStyle name="2_BANG CAM COC GPMB 8km_thanh hoa lap du an 062008" xfId="703"/>
    <cellStyle name="2_BANG CAM COC GPMB 8km_thanh hoa lap du an 062008_QT bieu 45 va 53 2011" xfId="704"/>
    <cellStyle name="2_BANG CAM COC GPMB 8km_thanh hoa lap du an 062008_Sheet2" xfId="705"/>
    <cellStyle name="2_Bang tong hop khoi luong" xfId="706"/>
    <cellStyle name="2_BCsoketgiuanhiemky_BIEU" xfId="707"/>
    <cellStyle name="2_Bieu_KH_2010_Giao" xfId="708"/>
    <cellStyle name="2_BieuKH.TM(T12.Gui TH)_2" xfId="709"/>
    <cellStyle name="2_Book1" xfId="710"/>
    <cellStyle name="2_Book1_1" xfId="711"/>
    <cellStyle name="2_Book1_1_thanh hoa lap du an 062008" xfId="712"/>
    <cellStyle name="2_Book1_1_thanh hoa lap du an 062008_QT bieu 45 va 53 2011" xfId="713"/>
    <cellStyle name="2_Book1_1_thanh hoa lap du an 062008_Sheet2" xfId="714"/>
    <cellStyle name="2_Book1_Book1" xfId="715"/>
    <cellStyle name="2_Book1_Book1_1" xfId="716"/>
    <cellStyle name="2_Book1_Book1_Book1" xfId="717"/>
    <cellStyle name="2_Book1_Book1_Book1_QT bieu 45 va 53 2011" xfId="718"/>
    <cellStyle name="2_Book1_Book1_Book1_Sheet2" xfId="719"/>
    <cellStyle name="2_Book1_Book1_Gia goi thau KS, TKBVTC sua Ngay 12-01" xfId="720"/>
    <cellStyle name="2_Book1_Book1_thanh hoa lap du an 062008" xfId="721"/>
    <cellStyle name="2_Book1_Cau Bai Son 2 Km 0+270.26 (8-11-2006)" xfId="722"/>
    <cellStyle name="2_Book1_Cau Bai Son 2 Km 0+270.26 (8-11-2006)_thanh hoa lap du an 062008" xfId="723"/>
    <cellStyle name="2_Book1_Cau Bai Son 2 Km 0+270.26 (8-11-2006)_thanh hoa lap du an 062008_QT bieu 45 va 53 2011" xfId="724"/>
    <cellStyle name="2_Book1_Cau Bai Son 2 Km 0+270.26 (8-11-2006)_thanh hoa lap du an 062008_Sheet2" xfId="725"/>
    <cellStyle name="2_Book1_Cau Hoa Son Km 1+441.06 (14-12-2006)" xfId="726"/>
    <cellStyle name="2_Book1_Cau Hoa Son Km 1+441.06 (14-12-2006)_thanh hoa lap du an 062008" xfId="727"/>
    <cellStyle name="2_Book1_Cau Hoa Son Km 1+441.06 (14-12-2006)_thanh hoa lap du an 062008_QT bieu 45 va 53 2011" xfId="728"/>
    <cellStyle name="2_Book1_Cau Hoa Son Km 1+441.06 (14-12-2006)_thanh hoa lap du an 062008_Sheet2" xfId="729"/>
    <cellStyle name="2_Book1_Cau Hoa Son Km 1+441.06 (22-10-2006)" xfId="730"/>
    <cellStyle name="2_Book1_Cau Hoa Son Km 1+441.06 (22-10-2006)_thanh hoa lap du an 062008" xfId="731"/>
    <cellStyle name="2_Book1_Cau Hoa Son Km 1+441.06 (22-10-2006)_thanh hoa lap du an 062008_QT bieu 45 va 53 2011" xfId="732"/>
    <cellStyle name="2_Book1_Cau Hoa Son Km 1+441.06 (22-10-2006)_thanh hoa lap du an 062008_Sheet2" xfId="733"/>
    <cellStyle name="2_Book1_Cau Hoa Son Km 1+441.06 (24-10-2006)" xfId="734"/>
    <cellStyle name="2_Book1_Cau Hoa Son Km 1+441.06 (24-10-2006)_thanh hoa lap du an 062008" xfId="735"/>
    <cellStyle name="2_Book1_Cau Hoa Son Km 1+441.06 (24-10-2006)_thanh hoa lap du an 062008_QT bieu 45 va 53 2011" xfId="736"/>
    <cellStyle name="2_Book1_Cau Hoa Son Km 1+441.06 (24-10-2006)_thanh hoa lap du an 062008_Sheet2" xfId="737"/>
    <cellStyle name="2_Book1_Cau Nam Tot(ngay 2-10-2006)" xfId="738"/>
    <cellStyle name="2_Book1_Cau Song Dao Km 1+51.54 (20-12-2006)" xfId="739"/>
    <cellStyle name="2_Book1_Cau Song Dao Km 1+51.54 (20-12-2006)_thanh hoa lap du an 062008" xfId="740"/>
    <cellStyle name="2_Book1_Cau Song Dao Km 1+51.54 (20-12-2006)_thanh hoa lap du an 062008_QT bieu 45 va 53 2011" xfId="741"/>
    <cellStyle name="2_Book1_Cau Song Dao Km 1+51.54 (20-12-2006)_thanh hoa lap du an 062008_Sheet2" xfId="742"/>
    <cellStyle name="2_Book1_CAU XOP XANG II(su­a)" xfId="743"/>
    <cellStyle name="2_Book1_CAU XOP XANG II(su­a)_thanh hoa lap du an 062008" xfId="744"/>
    <cellStyle name="2_Book1_CAU XOP XANG II(su­a)_thanh hoa lap du an 062008_QT bieu 45 va 53 2011" xfId="745"/>
    <cellStyle name="2_Book1_CAU XOP XANG II(su­a)_thanh hoa lap du an 062008_Sheet2" xfId="746"/>
    <cellStyle name="2_Book1_Dieu phoi dat goi 1" xfId="747"/>
    <cellStyle name="2_Book1_Dieu phoi dat goi 2" xfId="748"/>
    <cellStyle name="2_Book1_DT Kha thi ngay 11-2-06" xfId="749"/>
    <cellStyle name="2_Book1_DT Kha thi ngay 11-2-06_thanh hoa lap du an 062008" xfId="750"/>
    <cellStyle name="2_Book1_DT Kha thi ngay 11-2-06_thanh hoa lap du an 062008_QT bieu 45 va 53 2011" xfId="751"/>
    <cellStyle name="2_Book1_DT Kha thi ngay 11-2-06_thanh hoa lap du an 062008_Sheet2" xfId="752"/>
    <cellStyle name="2_Book1_DT ngay 04-01-2006" xfId="753"/>
    <cellStyle name="2_Book1_DT ngay 11-4-2006" xfId="754"/>
    <cellStyle name="2_Book1_DT ngay 15-11-05" xfId="755"/>
    <cellStyle name="2_Book1_DT ngay 15-11-05_thanh hoa lap du an 062008" xfId="756"/>
    <cellStyle name="2_Book1_DT ngay 15-11-05_thanh hoa lap du an 062008_QT bieu 45 va 53 2011" xfId="757"/>
    <cellStyle name="2_Book1_DT ngay 15-11-05_thanh hoa lap du an 062008_Sheet2" xfId="758"/>
    <cellStyle name="2_Book1_DT theo DM24" xfId="759"/>
    <cellStyle name="2_Book1_Du toan KT-TCsua theo TT 03 - YC 471" xfId="760"/>
    <cellStyle name="2_Book1_Du toan Phuong lam" xfId="761"/>
    <cellStyle name="2_Book1_Du toan Phuong lam_thanh hoa lap du an 062008" xfId="762"/>
    <cellStyle name="2_Book1_Du toan Phuong lam_thanh hoa lap du an 062008_QT bieu 45 va 53 2011" xfId="763"/>
    <cellStyle name="2_Book1_Du toan Phuong lam_thanh hoa lap du an 062008_Sheet2" xfId="764"/>
    <cellStyle name="2_Book1_Du toan QL 27 (23-12-2005)" xfId="765"/>
    <cellStyle name="2_Book1_DuAnKT ngay 11-2-2006" xfId="766"/>
    <cellStyle name="2_Book1_Goi 1" xfId="767"/>
    <cellStyle name="2_Book1_Goi thau so 1 (14-12-2006)" xfId="768"/>
    <cellStyle name="2_Book1_Goi thau so 1 (14-12-2006)_thanh hoa lap du an 062008" xfId="769"/>
    <cellStyle name="2_Book1_Goi thau so 1 (14-12-2006)_thanh hoa lap du an 062008_QT bieu 45 va 53 2011" xfId="770"/>
    <cellStyle name="2_Book1_Goi thau so 1 (14-12-2006)_thanh hoa lap du an 062008_Sheet2" xfId="771"/>
    <cellStyle name="2_Book1_Goi thau so 2 (20-6-2006)" xfId="772"/>
    <cellStyle name="2_Book1_Goi thau so 2 (20-6-2006)_thanh hoa lap du an 062008" xfId="773"/>
    <cellStyle name="2_Book1_Goi thau so 2 (20-6-2006)_thanh hoa lap du an 062008_QT bieu 45 va 53 2011" xfId="774"/>
    <cellStyle name="2_Book1_Goi thau so 2 (20-6-2006)_thanh hoa lap du an 062008_Sheet2" xfId="775"/>
    <cellStyle name="2_Book1_Goi thau so 2 (30-01-2007)" xfId="776"/>
    <cellStyle name="2_Book1_Goi thau so 2 (30-01-2007)_thanh hoa lap du an 062008" xfId="777"/>
    <cellStyle name="2_Book1_Goi thau so 2 (30-01-2007)_thanh hoa lap du an 062008_QT bieu 45 va 53 2011" xfId="778"/>
    <cellStyle name="2_Book1_Goi thau so 2 (30-01-2007)_thanh hoa lap du an 062008_Sheet2" xfId="779"/>
    <cellStyle name="2_Book1_Goi02(25-05-2006)" xfId="780"/>
    <cellStyle name="2_Book1_K C N - HUNG DONG L.NHUA" xfId="781"/>
    <cellStyle name="2_Book1_K C N - HUNG DONG L.NHUA_thanh hoa lap du an 062008" xfId="782"/>
    <cellStyle name="2_Book1_K C N - HUNG DONG L.NHUA_thanh hoa lap du an 062008_QT bieu 45 va 53 2011" xfId="783"/>
    <cellStyle name="2_Book1_K C N - HUNG DONG L.NHUA_thanh hoa lap du an 062008_Sheet2" xfId="784"/>
    <cellStyle name="2_Book1_Khoi Luong Hoang Truong - Hoang Phu" xfId="785"/>
    <cellStyle name="2_Book1_Khoi Luong Hoang Truong - Hoang Phu_thanh hoa lap du an 062008" xfId="786"/>
    <cellStyle name="2_Book1_Khoi Luong Hoang Truong - Hoang Phu_thanh hoa lap du an 062008_QT bieu 45 va 53 2011" xfId="787"/>
    <cellStyle name="2_Book1_Khoi Luong Hoang Truong - Hoang Phu_thanh hoa lap du an 062008_Sheet2" xfId="788"/>
    <cellStyle name="2_Book1_km48-53 (tham tra ngay 23-10-2006)" xfId="789"/>
    <cellStyle name="2_Book1_Muong TL" xfId="790"/>
    <cellStyle name="2_Book1_thanh hoa lap du an 062008" xfId="791"/>
    <cellStyle name="2_Book1_thanh hoa lap du an 062008_QT bieu 45 va 53 2011" xfId="792"/>
    <cellStyle name="2_Book1_thanh hoa lap du an 062008_Sheet2" xfId="793"/>
    <cellStyle name="2_Book1_Tuyen so 1-Km0+00 - Km0+852.56" xfId="794"/>
    <cellStyle name="2_Book1_TV sua ngay 02-08-06" xfId="795"/>
    <cellStyle name="2_Book1_ÿÿÿÿÿ" xfId="796"/>
    <cellStyle name="2_C" xfId="797"/>
    <cellStyle name="2_Cau Bai Son 2 Km 0+270.26 (8-11-2006)" xfId="798"/>
    <cellStyle name="2_Cau Hoi 115" xfId="799"/>
    <cellStyle name="2_Cau Hoi 115_thanh hoa lap du an 062008" xfId="800"/>
    <cellStyle name="2_Cau Hoi 115_thanh hoa lap du an 062008_QT bieu 45 va 53 2011" xfId="801"/>
    <cellStyle name="2_Cau Hoi 115_thanh hoa lap du an 062008_Sheet2" xfId="802"/>
    <cellStyle name="2_Cau Hua Trai (TT 04)" xfId="803"/>
    <cellStyle name="2_Cau My Thinh sua theo don gia 59 (19-5-07)" xfId="804"/>
    <cellStyle name="2_Cau Nam Tot(ngay 2-10-2006)" xfId="805"/>
    <cellStyle name="2_Cau Nam Tot(ngay 2-10-2006)_thanh hoa lap du an 062008" xfId="806"/>
    <cellStyle name="2_Cau Nam Tot(ngay 2-10-2006)_thanh hoa lap du an 062008_QT bieu 45 va 53 2011" xfId="807"/>
    <cellStyle name="2_Cau Nam Tot(ngay 2-10-2006)_thanh hoa lap du an 062008_Sheet2" xfId="808"/>
    <cellStyle name="2_Cau Song Dao Km 1+51.54 (20-12-2006)" xfId="809"/>
    <cellStyle name="2_Cau Thanh Ha 1" xfId="810"/>
    <cellStyle name="2_Cau thuy dien Ban La (Cu Anh)" xfId="811"/>
    <cellStyle name="2_Cau thuy dien Ban La (Cu Anh)_thanh hoa lap du an 062008" xfId="812"/>
    <cellStyle name="2_Cau thuy dien Ban La (Cu Anh)_thanh hoa lap du an 062008_QT bieu 45 va 53 2011" xfId="813"/>
    <cellStyle name="2_Cau thuy dien Ban La (Cu Anh)_thanh hoa lap du an 062008_Sheet2" xfId="814"/>
    <cellStyle name="2_CAU XOP XANG II(su­a)" xfId="815"/>
    <cellStyle name="2_Chau Thon - Tan Xuan (goi 5)" xfId="816"/>
    <cellStyle name="2_Chau Thon - Tan Xuan (KCS 8-12-06)" xfId="817"/>
    <cellStyle name="2_Chi phi KS" xfId="818"/>
    <cellStyle name="2_Chi tieu su nghiep VHXH 2009 chi tiet_01_12qh3t12" xfId="819"/>
    <cellStyle name="2_Chinhthuc_Dongquyen_NLN" xfId="820"/>
    <cellStyle name="2_ChiTieu_KeHoach_2009" xfId="821"/>
    <cellStyle name="2_cong" xfId="822"/>
    <cellStyle name="2_cu ly van chuyen" xfId="823"/>
    <cellStyle name="2_Dakt-Cau tinh Hua Phan" xfId="824"/>
    <cellStyle name="2_Danhmuc_Quyhoach2009" xfId="825"/>
    <cellStyle name="2_DIEN" xfId="826"/>
    <cellStyle name="2_Dieu phoi dat goi 1" xfId="827"/>
    <cellStyle name="2_Dieu phoi dat goi 1_thanh hoa lap du an 062008" xfId="828"/>
    <cellStyle name="2_Dieu phoi dat goi 1_thanh hoa lap du an 062008_QT bieu 45 va 53 2011" xfId="829"/>
    <cellStyle name="2_Dieu phoi dat goi 1_thanh hoa lap du an 062008_Sheet2" xfId="830"/>
    <cellStyle name="2_Dieu phoi dat goi 2" xfId="831"/>
    <cellStyle name="2_Dieu phoi dat goi 2_thanh hoa lap du an 062008" xfId="832"/>
    <cellStyle name="2_Dieu phoi dat goi 2_thanh hoa lap du an 062008_QT bieu 45 va 53 2011" xfId="833"/>
    <cellStyle name="2_Dieu phoi dat goi 2_thanh hoa lap du an 062008_Sheet2" xfId="834"/>
    <cellStyle name="2_Dinh muc thiet ke" xfId="835"/>
    <cellStyle name="2_DONGIA" xfId="836"/>
    <cellStyle name="2_DT Chau Hong  trinh ngay 09-01-07" xfId="837"/>
    <cellStyle name="2_DT Chau Hong  trinh ngay 09-01-07_thanh hoa lap du an 062008" xfId="838"/>
    <cellStyle name="2_DT Chau Hong  trinh ngay 09-01-07_thanh hoa lap du an 062008_QT bieu 45 va 53 2011" xfId="839"/>
    <cellStyle name="2_DT Chau Hong  trinh ngay 09-01-07_thanh hoa lap du an 062008_Sheet2" xfId="840"/>
    <cellStyle name="2_DT Kha thi ngay 11-2-06" xfId="841"/>
    <cellStyle name="2_DT KT ngay 10-9-2005" xfId="842"/>
    <cellStyle name="2_DT ngay 04-01-2006" xfId="843"/>
    <cellStyle name="2_DT ngay 04-01-2006_thanh hoa lap du an 062008" xfId="844"/>
    <cellStyle name="2_DT ngay 04-01-2006_thanh hoa lap du an 062008_QT bieu 45 va 53 2011" xfId="845"/>
    <cellStyle name="2_DT ngay 04-01-2006_thanh hoa lap du an 062008_Sheet2" xfId="846"/>
    <cellStyle name="2_DT ngay 11-4-2006" xfId="847"/>
    <cellStyle name="2_DT ngay 11-4-2006_thanh hoa lap du an 062008" xfId="848"/>
    <cellStyle name="2_DT ngay 11-4-2006_thanh hoa lap du an 062008_QT bieu 45 va 53 2011" xfId="849"/>
    <cellStyle name="2_DT ngay 11-4-2006_thanh hoa lap du an 062008_Sheet2" xfId="850"/>
    <cellStyle name="2_DT ngay 15-11-05" xfId="851"/>
    <cellStyle name="2_DT theo DM24" xfId="852"/>
    <cellStyle name="2_DT theo DM24_thanh hoa lap du an 062008" xfId="853"/>
    <cellStyle name="2_DT theo DM24_thanh hoa lap du an 062008_QT bieu 45 va 53 2011" xfId="854"/>
    <cellStyle name="2_DT theo DM24_thanh hoa lap du an 062008_Sheet2" xfId="855"/>
    <cellStyle name="2_DT-497" xfId="856"/>
    <cellStyle name="2_DT-497_thanh hoa lap du an 062008" xfId="857"/>
    <cellStyle name="2_DT-497_thanh hoa lap du an 062008_QT bieu 45 va 53 2011" xfId="858"/>
    <cellStyle name="2_DT-497_thanh hoa lap du an 062008_Sheet2" xfId="859"/>
    <cellStyle name="2_DT-Khao-s¸t-TD" xfId="860"/>
    <cellStyle name="2_DT-Khao-s¸t-TD_thanh hoa lap du an 062008" xfId="861"/>
    <cellStyle name="2_DT-Khao-s¸t-TD_thanh hoa lap du an 062008_QT bieu 45 va 53 2011" xfId="862"/>
    <cellStyle name="2_DT-Khao-s¸t-TD_thanh hoa lap du an 062008_Sheet2" xfId="863"/>
    <cellStyle name="2_DTXL goi 11(20-9-05)" xfId="864"/>
    <cellStyle name="2_du toan" xfId="865"/>
    <cellStyle name="2_du toan (03-11-05)" xfId="866"/>
    <cellStyle name="2_Du toan (12-05-2005) Tham dinh" xfId="867"/>
    <cellStyle name="2_Du toan (12-05-2005) Tham dinh_thanh hoa lap du an 062008" xfId="868"/>
    <cellStyle name="2_Du toan (12-05-2005) Tham dinh_thanh hoa lap du an 062008_QT bieu 45 va 53 2011" xfId="869"/>
    <cellStyle name="2_Du toan (12-05-2005) Tham dinh_thanh hoa lap du an 062008_Sheet2" xfId="870"/>
    <cellStyle name="2_Du toan (23-05-2005) Tham dinh" xfId="871"/>
    <cellStyle name="2_Du toan (23-05-2005) Tham dinh_thanh hoa lap du an 062008" xfId="872"/>
    <cellStyle name="2_Du toan (23-05-2005) Tham dinh_thanh hoa lap du an 062008_QT bieu 45 va 53 2011" xfId="873"/>
    <cellStyle name="2_Du toan (23-05-2005) Tham dinh_thanh hoa lap du an 062008_Sheet2" xfId="874"/>
    <cellStyle name="2_Du toan (5 - 04 - 2004)" xfId="875"/>
    <cellStyle name="2_Du toan (5 - 04 - 2004)_thanh hoa lap du an 062008" xfId="876"/>
    <cellStyle name="2_Du toan (5 - 04 - 2004)_thanh hoa lap du an 062008_QT bieu 45 va 53 2011" xfId="877"/>
    <cellStyle name="2_Du toan (5 - 04 - 2004)_thanh hoa lap du an 062008_Sheet2" xfId="878"/>
    <cellStyle name="2_Du toan (6-3-2005)" xfId="879"/>
    <cellStyle name="2_Du toan (Ban A)" xfId="880"/>
    <cellStyle name="2_Du toan (Ban A)_thanh hoa lap du an 062008" xfId="881"/>
    <cellStyle name="2_Du toan (Ban A)_thanh hoa lap du an 062008_QT bieu 45 va 53 2011" xfId="882"/>
    <cellStyle name="2_Du toan (Ban A)_thanh hoa lap du an 062008_Sheet2" xfId="883"/>
    <cellStyle name="2_Du toan (ngay 13 - 07 - 2004)" xfId="884"/>
    <cellStyle name="2_Du toan (ngay 13 - 07 - 2004)_thanh hoa lap du an 062008" xfId="885"/>
    <cellStyle name="2_Du toan (ngay 13 - 07 - 2004)_thanh hoa lap du an 062008_QT bieu 45 va 53 2011" xfId="886"/>
    <cellStyle name="2_Du toan (ngay 13 - 07 - 2004)_thanh hoa lap du an 062008_Sheet2" xfId="887"/>
    <cellStyle name="2_Du toan (ngay 25-9-06)" xfId="888"/>
    <cellStyle name="2_Du toan (ngay03-02-07) theo DG moi" xfId="889"/>
    <cellStyle name="2_Du toan 558 (Km17+508.12 - Km 22)" xfId="890"/>
    <cellStyle name="2_Du toan 558 (Km17+508.12 - Km 22)_thanh hoa lap du an 062008" xfId="891"/>
    <cellStyle name="2_Du toan 558 (Km17+508.12 - Km 22)_thanh hoa lap du an 062008_QT bieu 45 va 53 2011" xfId="892"/>
    <cellStyle name="2_Du toan 558 (Km17+508.12 - Km 22)_thanh hoa lap du an 062008_Sheet2" xfId="893"/>
    <cellStyle name="2_Du toan bo sung (11-2004)" xfId="894"/>
    <cellStyle name="2_Du toan Cang Vung Ang (Tham tra 3-11-06)" xfId="895"/>
    <cellStyle name="2_Du toan Cang Vung Ang (Tham tra 3-11-06)_thanh hoa lap du an 062008" xfId="896"/>
    <cellStyle name="2_Du toan Cang Vung Ang (Tham tra 3-11-06)_thanh hoa lap du an 062008_QT bieu 45 va 53 2011" xfId="897"/>
    <cellStyle name="2_Du toan Cang Vung Ang (Tham tra 3-11-06)_thanh hoa lap du an 062008_Sheet2" xfId="898"/>
    <cellStyle name="2_Du toan Cang Vung Ang ngay 09-8-06 " xfId="899"/>
    <cellStyle name="2_Du toan Cang Vung Ang ngay 09-8-06 _thanh hoa lap du an 062008" xfId="900"/>
    <cellStyle name="2_Du toan Cang Vung Ang ngay 09-8-06 _thanh hoa lap du an 062008_QT bieu 45 va 53 2011" xfId="901"/>
    <cellStyle name="2_Du toan Cang Vung Ang ngay 09-8-06 _thanh hoa lap du an 062008_Sheet2" xfId="902"/>
    <cellStyle name="2_Du toan dieu chin theo don gia moi (1-2-2007)" xfId="903"/>
    <cellStyle name="2_Du toan Doan Km 53 - 60 sua theo tham tra(15-5-2007)" xfId="904"/>
    <cellStyle name="2_Du toan Doan Km 53 - 60 sua theo tham tra(15-5-2007)_thanh hoa lap du an 062008" xfId="905"/>
    <cellStyle name="2_Du toan Doan Km 53 - 60 sua theo tham tra(15-5-2007)_thanh hoa lap du an 062008_QT bieu 45 va 53 2011" xfId="906"/>
    <cellStyle name="2_Du toan Doan Km 53 - 60 sua theo tham tra(15-5-2007)_thanh hoa lap du an 062008_Sheet2" xfId="907"/>
    <cellStyle name="2_Du toan Doan Km 53 - 60 sua theo TV4 tham tra(9-6-2007)" xfId="908"/>
    <cellStyle name="2_Du toan Goi 1" xfId="909"/>
    <cellStyle name="2_Du toan Goi 1_thanh hoa lap du an 062008" xfId="910"/>
    <cellStyle name="2_Du toan Goi 1_thanh hoa lap du an 062008_QT bieu 45 va 53 2011" xfId="911"/>
    <cellStyle name="2_Du toan Goi 1_thanh hoa lap du an 062008_Sheet2" xfId="912"/>
    <cellStyle name="2_du toan goi 12" xfId="913"/>
    <cellStyle name="2_Du toan Goi 2" xfId="914"/>
    <cellStyle name="2_Du toan Goi 2_thanh hoa lap du an 062008" xfId="915"/>
    <cellStyle name="2_Du toan Goi 2_thanh hoa lap du an 062008_QT bieu 45 va 53 2011" xfId="916"/>
    <cellStyle name="2_Du toan Goi 2_thanh hoa lap du an 062008_Sheet2" xfId="917"/>
    <cellStyle name="2_Du toan Huong Lam - Ban Giang (ngay28-11-06)" xfId="918"/>
    <cellStyle name="2_Du toan Huong Lam - Ban Giang (ngay28-11-06)_thanh hoa lap du an 062008" xfId="919"/>
    <cellStyle name="2_Du toan Huong Lam - Ban Giang (ngay28-11-06)_thanh hoa lap du an 062008_QT bieu 45 va 53 2011" xfId="920"/>
    <cellStyle name="2_Du toan Huong Lam - Ban Giang (ngay28-11-06)_thanh hoa lap du an 062008_Sheet2" xfId="921"/>
    <cellStyle name="2_Du toan Huong Lam - Ban Giang theo DG 59 (ngay3-2-07)" xfId="922"/>
    <cellStyle name="2_Du toan Huong Lam - Ban Giang theo DG 59 (ngay3-2-07)_thanh hoa lap du an 062008" xfId="923"/>
    <cellStyle name="2_Du toan Huong Lam - Ban Giang theo DG 59 (ngay3-2-07)_thanh hoa lap du an 062008_QT bieu 45 va 53 2011" xfId="924"/>
    <cellStyle name="2_Du toan Huong Lam - Ban Giang theo DG 59 (ngay3-2-07)_thanh hoa lap du an 062008_Sheet2" xfId="925"/>
    <cellStyle name="2_Du toan khao sat don 553 (da sua 16.5.08)" xfId="926"/>
    <cellStyle name="2_Du toan KT-TCsua theo TT 03 - YC 471" xfId="927"/>
    <cellStyle name="2_Du toan KT-TCsua theo TT 03 - YC 471_thanh hoa lap du an 062008" xfId="928"/>
    <cellStyle name="2_Du toan KT-TCsua theo TT 03 - YC 471_thanh hoa lap du an 062008_QT bieu 45 va 53 2011" xfId="929"/>
    <cellStyle name="2_Du toan KT-TCsua theo TT 03 - YC 471_thanh hoa lap du an 062008_Sheet2" xfId="930"/>
    <cellStyle name="2_Du toan ngay (28-10-2005)" xfId="931"/>
    <cellStyle name="2_Du toan ngay (28-10-2005)_thanh hoa lap du an 062008" xfId="932"/>
    <cellStyle name="2_Du toan ngay (28-10-2005)_thanh hoa lap du an 062008_QT bieu 45 va 53 2011" xfId="933"/>
    <cellStyle name="2_Du toan ngay (28-10-2005)_thanh hoa lap du an 062008_Sheet2" xfId="934"/>
    <cellStyle name="2_Du toan ngay 16-4-2007" xfId="935"/>
    <cellStyle name="2_Du toan ngay 1-9-2004 (version 1)" xfId="936"/>
    <cellStyle name="2_Du toan ngay 1-9-2004 (version 1)_thanh hoa lap du an 062008" xfId="937"/>
    <cellStyle name="2_Du toan ngay 1-9-2004 (version 1)_thanh hoa lap du an 062008_QT bieu 45 va 53 2011" xfId="938"/>
    <cellStyle name="2_Du toan ngay 1-9-2004 (version 1)_thanh hoa lap du an 062008_Sheet2" xfId="939"/>
    <cellStyle name="2_Du toan Phuong lam" xfId="940"/>
    <cellStyle name="2_Du toan QL 27 (23-12-2005)" xfId="941"/>
    <cellStyle name="2_Du toan QL 27 (23-12-2005)_thanh hoa lap du an 062008" xfId="942"/>
    <cellStyle name="2_Du toan QL 27 (23-12-2005)_thanh hoa lap du an 062008_QT bieu 45 va 53 2011" xfId="943"/>
    <cellStyle name="2_Du toan QL 27 (23-12-2005)_thanh hoa lap du an 062008_Sheet2" xfId="944"/>
    <cellStyle name="2_Du toan Tay Thanh Hoa duyetcuoi" xfId="945"/>
    <cellStyle name="2_Du toan Tay Thanh Hoa duyetcuoi_thanh hoa lap du an 062008" xfId="946"/>
    <cellStyle name="2_Du toan Tay Thanh Hoa duyetcuoi_thanh hoa lap du an 062008_QT bieu 45 va 53 2011" xfId="947"/>
    <cellStyle name="2_Du toan Tay Thanh Hoa duyetcuoi_thanh hoa lap du an 062008_Sheet2" xfId="948"/>
    <cellStyle name="2_Du_toan_Ho_Xa___Vinh_Tan_WB3 sua ngay 18-8-06" xfId="949"/>
    <cellStyle name="2_Du_toan_Ho_Xa___Vinh_Tan_WB3 sua ngay 18-8-06_thanh hoa lap du an 062008" xfId="950"/>
    <cellStyle name="2_Du_toan_Ho_Xa___Vinh_Tan_WB3 sua ngay 18-8-06_thanh hoa lap du an 062008_QT bieu 45 va 53 2011" xfId="951"/>
    <cellStyle name="2_Du_toan_Ho_Xa___Vinh_Tan_WB3 sua ngay 18-8-06_thanh hoa lap du an 062008_Sheet2" xfId="952"/>
    <cellStyle name="2_DuAnKT ngay 11-2-2006" xfId="953"/>
    <cellStyle name="2_DuAnKT ngay 11-2-2006_thanh hoa lap du an 062008" xfId="954"/>
    <cellStyle name="2_DuAnKT ngay 11-2-2006_thanh hoa lap du an 062008_QT bieu 45 va 53 2011" xfId="955"/>
    <cellStyle name="2_DuAnKT ngay 11-2-2006_thanh hoa lap du an 062008_Sheet2" xfId="956"/>
    <cellStyle name="2_Gia_VL cau-JIBIC-Ha-tinh" xfId="957"/>
    <cellStyle name="2_Gia_VL cau-JIBIC-Ha-tinh_thanh hoa lap du an 062008" xfId="958"/>
    <cellStyle name="2_Gia_VL cau-JIBIC-Ha-tinh_thanh hoa lap du an 062008_QT bieu 45 va 53 2011" xfId="959"/>
    <cellStyle name="2_Gia_VL cau-JIBIC-Ha-tinh_thanh hoa lap du an 062008_Sheet2" xfId="960"/>
    <cellStyle name="2_Gia_VLQL48_duyet " xfId="961"/>
    <cellStyle name="2_Gia_VLQL48_duyet _thanh hoa lap du an 062008" xfId="962"/>
    <cellStyle name="2_Gia_VLQL48_duyet _thanh hoa lap du an 062008_QT bieu 45 va 53 2011" xfId="963"/>
    <cellStyle name="2_Gia_VLQL48_duyet _thanh hoa lap du an 062008_Sheet2" xfId="964"/>
    <cellStyle name="2_goi 1" xfId="965"/>
    <cellStyle name="2_Goi 1 (TT04)" xfId="966"/>
    <cellStyle name="2_goi 1 duyet theo luong mo (an)" xfId="967"/>
    <cellStyle name="2_Goi 1_1" xfId="968"/>
    <cellStyle name="2_Goi 1_1_thanh hoa lap du an 062008" xfId="969"/>
    <cellStyle name="2_Goi 1_1_thanh hoa lap du an 062008_QT bieu 45 va 53 2011" xfId="970"/>
    <cellStyle name="2_Goi 1_1_thanh hoa lap du an 062008_Sheet2" xfId="971"/>
    <cellStyle name="2_Goi so 1" xfId="972"/>
    <cellStyle name="2_Goi thau so 08 (11-05-2007)" xfId="973"/>
    <cellStyle name="2_Goi thau so 1 (14-12-2006)" xfId="974"/>
    <cellStyle name="2_Goi thau so 2 (20-6-2006)" xfId="975"/>
    <cellStyle name="2_Goi02(25-05-2006)" xfId="976"/>
    <cellStyle name="2_Goi02(25-05-2006)_thanh hoa lap du an 062008" xfId="977"/>
    <cellStyle name="2_Goi02(25-05-2006)_thanh hoa lap du an 062008_QT bieu 45 va 53 2011" xfId="978"/>
    <cellStyle name="2_Goi02(25-05-2006)_thanh hoa lap du an 062008_Sheet2" xfId="979"/>
    <cellStyle name="2_Goi1N206" xfId="980"/>
    <cellStyle name="2_Goi1N206_thanh hoa lap du an 062008" xfId="981"/>
    <cellStyle name="2_Goi1N206_thanh hoa lap du an 062008_QT bieu 45 va 53 2011" xfId="982"/>
    <cellStyle name="2_Goi1N206_thanh hoa lap du an 062008_Sheet2" xfId="983"/>
    <cellStyle name="2_Goi2N206" xfId="984"/>
    <cellStyle name="2_Goi2N206_thanh hoa lap du an 062008" xfId="985"/>
    <cellStyle name="2_Goi2N206_thanh hoa lap du an 062008_QT bieu 45 va 53 2011" xfId="986"/>
    <cellStyle name="2_Goi2N206_thanh hoa lap du an 062008_Sheet2" xfId="987"/>
    <cellStyle name="2_Goi4N216" xfId="988"/>
    <cellStyle name="2_Goi4N216_thanh hoa lap du an 062008" xfId="989"/>
    <cellStyle name="2_Goi4N216_thanh hoa lap du an 062008_QT bieu 45 va 53 2011" xfId="990"/>
    <cellStyle name="2_Goi4N216_thanh hoa lap du an 062008_Sheet2" xfId="991"/>
    <cellStyle name="2_Goi5N216" xfId="992"/>
    <cellStyle name="2_Goi5N216_thanh hoa lap du an 062008" xfId="993"/>
    <cellStyle name="2_Goi5N216_thanh hoa lap du an 062008_QT bieu 45 va 53 2011" xfId="994"/>
    <cellStyle name="2_Goi5N216_thanh hoa lap du an 062008_Sheet2" xfId="995"/>
    <cellStyle name="2_Hoi Song" xfId="996"/>
    <cellStyle name="2_HT-LO" xfId="997"/>
    <cellStyle name="2_HT-LO_thanh hoa lap du an 062008" xfId="998"/>
    <cellStyle name="2_HT-LO_thanh hoa lap du an 062008_QT bieu 45 va 53 2011" xfId="999"/>
    <cellStyle name="2_HT-LO_thanh hoa lap du an 062008_Sheet2" xfId="1000"/>
    <cellStyle name="2_Huong Lam - Ban Giang (11-4-2007)" xfId="1001"/>
    <cellStyle name="2_Huong Lam - Ban Giang (11-4-2007)_thanh hoa lap du an 062008" xfId="1002"/>
    <cellStyle name="2_Huong Lam - Ban Giang (11-4-2007)_thanh hoa lap du an 062008_QT bieu 45 va 53 2011" xfId="1003"/>
    <cellStyle name="2_Huong Lam - Ban Giang (11-4-2007)_thanh hoa lap du an 062008_Sheet2" xfId="1004"/>
    <cellStyle name="2_KH Von Dieu tra CBMT 2009ngay3t12qh4t12" xfId="1005"/>
    <cellStyle name="2_KH_2009_CongThuong" xfId="1006"/>
    <cellStyle name="2_KH_SXNL_2009" xfId="1007"/>
    <cellStyle name="2_Khoi luong" xfId="1008"/>
    <cellStyle name="2_Khoi luong doan 1" xfId="1009"/>
    <cellStyle name="2_Khoi luong doan 1_thanh hoa lap du an 062008" xfId="1010"/>
    <cellStyle name="2_Khoi luong doan 1_thanh hoa lap du an 062008_QT bieu 45 va 53 2011" xfId="1011"/>
    <cellStyle name="2_Khoi luong doan 1_thanh hoa lap du an 062008_Sheet2" xfId="1012"/>
    <cellStyle name="2_Khoi luong doan 2" xfId="1013"/>
    <cellStyle name="2_Khoi luong doan 2_thanh hoa lap du an 062008" xfId="1014"/>
    <cellStyle name="2_Khoi luong doan 2_thanh hoa lap du an 062008_QT bieu 45 va 53 2011" xfId="1015"/>
    <cellStyle name="2_Khoi luong doan 2_thanh hoa lap du an 062008_Sheet2" xfId="1016"/>
    <cellStyle name="2_Khoi Luong Hoang Truong - Hoang Phu" xfId="1017"/>
    <cellStyle name="2_Khoi Luong Hoang Truong - Hoang Phu_thanh hoa lap du an 062008" xfId="1018"/>
    <cellStyle name="2_Khoi Luong Hoang Truong - Hoang Phu_thanh hoa lap du an 062008_QT bieu 45 va 53 2011" xfId="1019"/>
    <cellStyle name="2_Khoi Luong Hoang Truong - Hoang Phu_thanh hoa lap du an 062008_Sheet2" xfId="1020"/>
    <cellStyle name="2_Khoi luong_thanh hoa lap du an 062008" xfId="1021"/>
    <cellStyle name="2_Khoi luong_thanh hoa lap du an 062008_QT bieu 45 va 53 2011" xfId="1022"/>
    <cellStyle name="2_Khoi luong_thanh hoa lap du an 062008_Sheet2" xfId="1023"/>
    <cellStyle name="2_KHXDCB_2009_ HDND" xfId="1024"/>
    <cellStyle name="2_Kiennghi_TTCP" xfId="1025"/>
    <cellStyle name="2_Kiennghi_TTCP_Bosung" xfId="1026"/>
    <cellStyle name="2_Kiennghi_TTCP_Bosung_lan2" xfId="1027"/>
    <cellStyle name="2_Kiennghibosungvon_TTCP_2" xfId="1028"/>
    <cellStyle name="2_KL" xfId="1029"/>
    <cellStyle name="2_KL_Cau My Thinh sua theo don gia 59 (19-5-07)" xfId="1030"/>
    <cellStyle name="2_KL_Cau My Thinh sua theo don gia 59 (19-5-07)_thanh hoa lap du an 062008" xfId="1031"/>
    <cellStyle name="2_KL_Cau My Thinh sua theo don gia 59 (19-5-07)_thanh hoa lap du an 062008_QT bieu 45 va 53 2011" xfId="1032"/>
    <cellStyle name="2_KL_Cau My Thinh sua theo don gia 59 (19-5-07)_thanh hoa lap du an 062008_Sheet2" xfId="1033"/>
    <cellStyle name="2_Kl_DT_Tham_Dinh_497_16-4-07" xfId="1034"/>
    <cellStyle name="2_KL_DT-497" xfId="1035"/>
    <cellStyle name="2_KL_DT-497_thanh hoa lap du an 062008" xfId="1036"/>
    <cellStyle name="2_KL_DT-497_thanh hoa lap du an 062008_QT bieu 45 va 53 2011" xfId="1037"/>
    <cellStyle name="2_KL_DT-497_thanh hoa lap du an 062008_Sheet2" xfId="1038"/>
    <cellStyle name="2_KL_DT-Khao-s¸t-TD" xfId="1039"/>
    <cellStyle name="2_KL_DT-Khao-s¸t-TD_thanh hoa lap du an 062008" xfId="1040"/>
    <cellStyle name="2_KL_DT-Khao-s¸t-TD_thanh hoa lap du an 062008_QT bieu 45 va 53 2011" xfId="1041"/>
    <cellStyle name="2_KL_DT-Khao-s¸t-TD_thanh hoa lap du an 062008_Sheet2" xfId="1042"/>
    <cellStyle name="2_KL_Huong Lam - Ban Giang (11-4-2007)" xfId="1043"/>
    <cellStyle name="2_KL_Huong Lam - Ban Giang (11-4-2007)_thanh hoa lap du an 062008" xfId="1044"/>
    <cellStyle name="2_KL_Huong Lam - Ban Giang (11-4-2007)_thanh hoa lap du an 062008_QT bieu 45 va 53 2011" xfId="1045"/>
    <cellStyle name="2_KL_Huong Lam - Ban Giang (11-4-2007)_thanh hoa lap du an 062008_Sheet2" xfId="1046"/>
    <cellStyle name="2_KL_thanh hoa lap du an 062008" xfId="1047"/>
    <cellStyle name="2_KL_thanh hoa lap du an 062008_QT bieu 45 va 53 2011" xfId="1048"/>
    <cellStyle name="2_KL_thanh hoa lap du an 062008_Sheet2" xfId="1049"/>
    <cellStyle name="2_Kl6-6-05" xfId="1050"/>
    <cellStyle name="2_KLCongTh" xfId="1051"/>
    <cellStyle name="2_Kldoan3" xfId="1052"/>
    <cellStyle name="2_Kldoan3_thanh hoa lap du an 062008" xfId="1053"/>
    <cellStyle name="2_Kldoan3_thanh hoa lap du an 062008_QT bieu 45 va 53 2011" xfId="1054"/>
    <cellStyle name="2_Kldoan3_thanh hoa lap du an 062008_Sheet2" xfId="1055"/>
    <cellStyle name="2_KLhoxa" xfId="1056"/>
    <cellStyle name="2_Klnutgiao" xfId="1057"/>
    <cellStyle name="2_KLPA2s" xfId="1058"/>
    <cellStyle name="2_KlQdinhduyet" xfId="1059"/>
    <cellStyle name="2_KlQdinhduyet_thanh hoa lap du an 062008" xfId="1060"/>
    <cellStyle name="2_KlQdinhduyet_thanh hoa lap du an 062008_QT bieu 45 va 53 2011" xfId="1061"/>
    <cellStyle name="2_KlQdinhduyet_thanh hoa lap du an 062008_Sheet2" xfId="1062"/>
    <cellStyle name="2_KlQL4goi5KCS" xfId="1063"/>
    <cellStyle name="2_Kltayth" xfId="1064"/>
    <cellStyle name="2_KltaythQDduyet" xfId="1065"/>
    <cellStyle name="2_Kluong4-2004" xfId="1066"/>
    <cellStyle name="2_Kluong4-2004_thanh hoa lap du an 062008" xfId="1067"/>
    <cellStyle name="2_Kluong4-2004_thanh hoa lap du an 062008_QT bieu 45 va 53 2011" xfId="1068"/>
    <cellStyle name="2_Kluong4-2004_thanh hoa lap du an 062008_Sheet2" xfId="1069"/>
    <cellStyle name="2_Km 48 - 53 (sua nap TVTT 6-7-2007)" xfId="1070"/>
    <cellStyle name="2_Km 48 - 53 (sua nap TVTT 6-7-2007)_thanh hoa lap du an 062008" xfId="1071"/>
    <cellStyle name="2_Km 48 - 53 (sua nap TVTT 6-7-2007)_thanh hoa lap du an 062008_QT bieu 45 va 53 2011" xfId="1072"/>
    <cellStyle name="2_Km 48 - 53 (sua nap TVTT 6-7-2007)_thanh hoa lap du an 062008_Sheet2" xfId="1073"/>
    <cellStyle name="2_Km2" xfId="1074"/>
    <cellStyle name="2_Km3" xfId="1075"/>
    <cellStyle name="2_km4-6" xfId="1076"/>
    <cellStyle name="2_km48-53 (tham tra ngay 23-10-2006)" xfId="1077"/>
    <cellStyle name="2_km48-53 (tham tra ngay 23-10-2006)_thanh hoa lap du an 062008" xfId="1078"/>
    <cellStyle name="2_km48-53 (tham tra ngay 23-10-2006)_thanh hoa lap du an 062008_QT bieu 45 va 53 2011" xfId="1079"/>
    <cellStyle name="2_km48-53 (tham tra ngay 23-10-2006)_thanh hoa lap du an 062008_Sheet2" xfId="1080"/>
    <cellStyle name="2_km48-53 (tham tra ngay 23-10-2006)theo gi¸ ca m¸y míi" xfId="1081"/>
    <cellStyle name="2_km48-53 (tham tra ngay 23-10-2006)theo gi¸ ca m¸y míi_thanh hoa lap du an 062008" xfId="1082"/>
    <cellStyle name="2_km48-53 (tham tra ngay 23-10-2006)theo gi¸ ca m¸y míi_thanh hoa lap du an 062008_QT bieu 45 va 53 2011" xfId="1083"/>
    <cellStyle name="2_km48-53 (tham tra ngay 23-10-2006)theo gi¸ ca m¸y míi_thanh hoa lap du an 062008_Sheet2" xfId="1084"/>
    <cellStyle name="2_Luong A6" xfId="1085"/>
    <cellStyle name="2_maugiacotaluy" xfId="1086"/>
    <cellStyle name="2_My Thanh Son Thanh" xfId="1087"/>
    <cellStyle name="2_Nhom I" xfId="1088"/>
    <cellStyle name="2_Nhom I_thanh hoa lap du an 062008" xfId="1089"/>
    <cellStyle name="2_Nhom I_thanh hoa lap du an 062008_QT bieu 45 va 53 2011" xfId="1090"/>
    <cellStyle name="2_Nhom I_thanh hoa lap du an 062008_Sheet2" xfId="1091"/>
    <cellStyle name="2_Phanbotindung_2009_KH" xfId="1092"/>
    <cellStyle name="2_Phu luc KS" xfId="1093"/>
    <cellStyle name="2_Project N.Du" xfId="1094"/>
    <cellStyle name="2_Project N.Du.dien" xfId="1095"/>
    <cellStyle name="2_Project N.Du_thanh hoa lap du an 062008" xfId="1096"/>
    <cellStyle name="2_Project N.Du_thanh hoa lap du an 062008_QT bieu 45 va 53 2011" xfId="1097"/>
    <cellStyle name="2_Project N.Du_thanh hoa lap du an 062008_Sheet2" xfId="1098"/>
    <cellStyle name="2_Project QL4" xfId="1099"/>
    <cellStyle name="2_Project QL4 goi 7" xfId="1100"/>
    <cellStyle name="2_Project QL4 goi 7_thanh hoa lap du an 062008" xfId="1101"/>
    <cellStyle name="2_Project QL4 goi 7_thanh hoa lap du an 062008_QT bieu 45 va 53 2011" xfId="1102"/>
    <cellStyle name="2_Project QL4 goi 7_thanh hoa lap du an 062008_Sheet2" xfId="1103"/>
    <cellStyle name="2_Project QL4 goi5" xfId="1104"/>
    <cellStyle name="2_Project QL4 goi8" xfId="1105"/>
    <cellStyle name="2_QL1A-SUA2005" xfId="1106"/>
    <cellStyle name="2_QL1A-SUA2005_thanh hoa lap du an 062008" xfId="1107"/>
    <cellStyle name="2_QL1A-SUA2005_thanh hoa lap du an 062008_QT bieu 45 va 53 2011" xfId="1108"/>
    <cellStyle name="2_QL1A-SUA2005_thanh hoa lap du an 062008_Sheet2" xfId="1109"/>
    <cellStyle name="2_Sheet1" xfId="1110"/>
    <cellStyle name="2_Sheet1_Cau My Thinh sua theo don gia 59 (19-5-07)" xfId="1111"/>
    <cellStyle name="2_Sheet1_DT_Tham_Dinh_497_16-4-07" xfId="1112"/>
    <cellStyle name="2_Sheet1_DT-497" xfId="1113"/>
    <cellStyle name="2_Sheet1_DT-Khao-s¸t-TD" xfId="1114"/>
    <cellStyle name="2_Sheet1_Huong Lam - Ban Giang (11-4-2007)" xfId="1115"/>
    <cellStyle name="2_SuoiTon" xfId="1116"/>
    <cellStyle name="2_SuoiTon_thanh hoa lap du an 062008" xfId="1117"/>
    <cellStyle name="2_SuoiTon_thanh hoa lap du an 062008_QT bieu 45 va 53 2011" xfId="1118"/>
    <cellStyle name="2_SuoiTon_thanh hoa lap du an 062008_Sheet2" xfId="1119"/>
    <cellStyle name="2_t" xfId="1120"/>
    <cellStyle name="2_TamkhoanKSDH" xfId="1121"/>
    <cellStyle name="2_Tay THoa" xfId="1122"/>
    <cellStyle name="2_Tay THoa_thanh hoa lap du an 062008" xfId="1123"/>
    <cellStyle name="2_Tay THoa_thanh hoa lap du an 062008_QT bieu 45 va 53 2011" xfId="1124"/>
    <cellStyle name="2_Tay THoa_thanh hoa lap du an 062008_Sheet2" xfId="1125"/>
    <cellStyle name="2_Tham tra (8-11)1" xfId="1126"/>
    <cellStyle name="2_Tham tra (8-11)1_thanh hoa lap du an 062008" xfId="1127"/>
    <cellStyle name="2_Tham tra (8-11)1_thanh hoa lap du an 062008_QT bieu 45 va 53 2011" xfId="1128"/>
    <cellStyle name="2_Tham tra (8-11)1_thanh hoa lap du an 062008_Sheet2" xfId="1129"/>
    <cellStyle name="2_THkl" xfId="1130"/>
    <cellStyle name="2_THkl_thanh hoa lap du an 062008" xfId="1131"/>
    <cellStyle name="2_THkl_thanh hoa lap du an 062008_QT bieu 45 va 53 2011" xfId="1132"/>
    <cellStyle name="2_THkl_thanh hoa lap du an 062008_Sheet2" xfId="1133"/>
    <cellStyle name="2_THklpa2" xfId="1134"/>
    <cellStyle name="2_THklpa2_thanh hoa lap du an 062008" xfId="1135"/>
    <cellStyle name="2_THklpa2_thanh hoa lap du an 062008_QT bieu 45 va 53 2011" xfId="1136"/>
    <cellStyle name="2_THklpa2_thanh hoa lap du an 062008_Sheet2" xfId="1137"/>
    <cellStyle name="2_Tong hop DT dieu chinh duong 38-95" xfId="1138"/>
    <cellStyle name="2_Tong hop khoi luong duong 557 (30-5-2006)" xfId="1139"/>
    <cellStyle name="2_Tong muc dau tu" xfId="1140"/>
    <cellStyle name="2_TRUNG PMU 5" xfId="1141"/>
    <cellStyle name="2_Tuyen so 1-Km0+00 - Km0+852.56" xfId="1142"/>
    <cellStyle name="2_Tuyen so 1-Km0+00 - Km0+852.56_thanh hoa lap du an 062008" xfId="1143"/>
    <cellStyle name="2_Tuyen so 1-Km0+00 - Km0+852.56_thanh hoa lap du an 062008_QT bieu 45 va 53 2011" xfId="1144"/>
    <cellStyle name="2_Tuyen so 1-Km0+00 - Km0+852.56_thanh hoa lap du an 062008_Sheet2" xfId="1145"/>
    <cellStyle name="2_TV sua ngay 02-08-06" xfId="1146"/>
    <cellStyle name="2_TV sua ngay 02-08-06_thanh hoa lap du an 062008" xfId="1147"/>
    <cellStyle name="2_TV sua ngay 02-08-06_thanh hoa lap du an 062008_QT bieu 45 va 53 2011" xfId="1148"/>
    <cellStyle name="2_TV sua ngay 02-08-06_thanh hoa lap du an 062008_Sheet2" xfId="1149"/>
    <cellStyle name="2_VatLieu 3 cau -NA" xfId="1150"/>
    <cellStyle name="2_VatLieu 3 cau -NA_thanh hoa lap du an 062008" xfId="1151"/>
    <cellStyle name="2_VatLieu 3 cau -NA_thanh hoa lap du an 062008_QT bieu 45 va 53 2011" xfId="1152"/>
    <cellStyle name="2_VatLieu 3 cau -NA_thanh hoa lap du an 062008_Sheet2" xfId="1153"/>
    <cellStyle name="2_ÿÿÿÿÿ" xfId="1154"/>
    <cellStyle name="2_ÿÿÿÿÿ_1" xfId="1155"/>
    <cellStyle name="2_ÿÿÿÿÿ_1_thanh hoa lap du an 062008" xfId="1156"/>
    <cellStyle name="2_ÿÿÿÿÿ_1_thanh hoa lap du an 062008_QT bieu 45 va 53 2011" xfId="1157"/>
    <cellStyle name="2_ÿÿÿÿÿ_1_thanh hoa lap du an 062008_Sheet2" xfId="1158"/>
    <cellStyle name="2_ÿÿÿÿÿ_Book1" xfId="1159"/>
    <cellStyle name="2_ÿÿÿÿÿ_Book1_Cau My Thinh sua theo don gia 59 (19-5-07)" xfId="1160"/>
    <cellStyle name="2_ÿÿÿÿÿ_Book1_DT_Tham_Dinh_497_16-4-07" xfId="1161"/>
    <cellStyle name="2_ÿÿÿÿÿ_Book1_DT-497" xfId="1162"/>
    <cellStyle name="2_ÿÿÿÿÿ_Book1_DT-Khao-s¸t-TD" xfId="1163"/>
    <cellStyle name="2_ÿÿÿÿÿ_Book1_Huong Lam - Ban Giang (11-4-2007)" xfId="1164"/>
    <cellStyle name="2_ÿÿÿÿÿ_Cau My Thinh sua theo don gia 59 (19-5-07)" xfId="1165"/>
    <cellStyle name="2_ÿÿÿÿÿ_DT_Tham_Dinh_497_16-4-07" xfId="1166"/>
    <cellStyle name="2_ÿÿÿÿÿ_DT-497" xfId="1167"/>
    <cellStyle name="2_ÿÿÿÿÿ_DT-Khao-s¸t-TD" xfId="1168"/>
    <cellStyle name="2_ÿÿÿÿÿ_Huong Lam - Ban Giang (11-4-2007)" xfId="1169"/>
    <cellStyle name="2_ÿÿÿÿÿ_phu luc klksht" xfId="1170"/>
    <cellStyle name="2_ÿÿÿÿÿ_Tong hop DT dieu chinh duong 38-95" xfId="1171"/>
    <cellStyle name="20" xfId="1172"/>
    <cellStyle name="20% - Accent1" xfId="1173"/>
    <cellStyle name="20% - Accent2" xfId="1174"/>
    <cellStyle name="20% - Accent3" xfId="1175"/>
    <cellStyle name="20% - Accent4" xfId="1176"/>
    <cellStyle name="20% - Accent5" xfId="1177"/>
    <cellStyle name="20% - Accent6" xfId="1178"/>
    <cellStyle name="-2001" xfId="1179"/>
    <cellStyle name="-2001?_x000C_Normal_AD_x000B_Normal_Adot?&#13;Normal_ADAdot?&#13;Normal_ADOT~1ⓨ␐_x000B_?ÿ?_x0012_?ÿ?adot" xfId="1180"/>
    <cellStyle name="3" xfId="1181"/>
    <cellStyle name="3_6.Bang_luong_moi_XDCB" xfId="1182"/>
    <cellStyle name="3_A che do KS +chi BQL" xfId="1183"/>
    <cellStyle name="3_BANG CAM COC GPMB 8km" xfId="1184"/>
    <cellStyle name="3_BANG CAM COC GPMB 8km_thanh hoa lap du an 062008" xfId="1185"/>
    <cellStyle name="3_BANG CAM COC GPMB 8km_thanh hoa lap du an 062008_QT bieu 45 va 53 2011" xfId="1186"/>
    <cellStyle name="3_BANG CAM COC GPMB 8km_thanh hoa lap du an 062008_Sheet2" xfId="1187"/>
    <cellStyle name="3_Bang tong hop khoi luong" xfId="1188"/>
    <cellStyle name="3_BCsoketgiuanhiemky_BIEU" xfId="1189"/>
    <cellStyle name="3_Bieu_KH_2010_Giao" xfId="1190"/>
    <cellStyle name="3_BieuKH.TM(T12.Gui TH)_2" xfId="1191"/>
    <cellStyle name="3_Book1" xfId="1192"/>
    <cellStyle name="3_Book1_1" xfId="1193"/>
    <cellStyle name="3_Book1_1_thanh hoa lap du an 062008" xfId="1194"/>
    <cellStyle name="3_Book1_1_thanh hoa lap du an 062008_QT bieu 45 va 53 2011" xfId="1195"/>
    <cellStyle name="3_Book1_1_thanh hoa lap du an 062008_Sheet2" xfId="1196"/>
    <cellStyle name="3_Book1_Book1" xfId="1197"/>
    <cellStyle name="3_Book1_Book1_1" xfId="1198"/>
    <cellStyle name="3_Book1_Book1_Book1" xfId="1199"/>
    <cellStyle name="3_Book1_Book1_Book1_QT bieu 45 va 53 2011" xfId="1200"/>
    <cellStyle name="3_Book1_Book1_Book1_Sheet2" xfId="1201"/>
    <cellStyle name="3_Book1_Book1_Gia goi thau KS, TKBVTC sua Ngay 12-01" xfId="1202"/>
    <cellStyle name="3_Book1_Book1_thanh hoa lap du an 062008" xfId="1203"/>
    <cellStyle name="3_Book1_Cau Bai Son 2 Km 0+270.26 (8-11-2006)" xfId="1204"/>
    <cellStyle name="3_Book1_Cau Bai Son 2 Km 0+270.26 (8-11-2006)_thanh hoa lap du an 062008" xfId="1205"/>
    <cellStyle name="3_Book1_Cau Bai Son 2 Km 0+270.26 (8-11-2006)_thanh hoa lap du an 062008_QT bieu 45 va 53 2011" xfId="1206"/>
    <cellStyle name="3_Book1_Cau Bai Son 2 Km 0+270.26 (8-11-2006)_thanh hoa lap du an 062008_Sheet2" xfId="1207"/>
    <cellStyle name="3_Book1_Cau Hoa Son Km 1+441.06 (14-12-2006)" xfId="1208"/>
    <cellStyle name="3_Book1_Cau Hoa Son Km 1+441.06 (14-12-2006)_thanh hoa lap du an 062008" xfId="1209"/>
    <cellStyle name="3_Book1_Cau Hoa Son Km 1+441.06 (14-12-2006)_thanh hoa lap du an 062008_QT bieu 45 va 53 2011" xfId="1210"/>
    <cellStyle name="3_Book1_Cau Hoa Son Km 1+441.06 (14-12-2006)_thanh hoa lap du an 062008_Sheet2" xfId="1211"/>
    <cellStyle name="3_Book1_Cau Hoa Son Km 1+441.06 (22-10-2006)" xfId="1212"/>
    <cellStyle name="3_Book1_Cau Hoa Son Km 1+441.06 (22-10-2006)_thanh hoa lap du an 062008" xfId="1213"/>
    <cellStyle name="3_Book1_Cau Hoa Son Km 1+441.06 (22-10-2006)_thanh hoa lap du an 062008_QT bieu 45 va 53 2011" xfId="1214"/>
    <cellStyle name="3_Book1_Cau Hoa Son Km 1+441.06 (22-10-2006)_thanh hoa lap du an 062008_Sheet2" xfId="1215"/>
    <cellStyle name="3_Book1_Cau Hoa Son Km 1+441.06 (24-10-2006)" xfId="1216"/>
    <cellStyle name="3_Book1_Cau Hoa Son Km 1+441.06 (24-10-2006)_thanh hoa lap du an 062008" xfId="1217"/>
    <cellStyle name="3_Book1_Cau Hoa Son Km 1+441.06 (24-10-2006)_thanh hoa lap du an 062008_QT bieu 45 va 53 2011" xfId="1218"/>
    <cellStyle name="3_Book1_Cau Hoa Son Km 1+441.06 (24-10-2006)_thanh hoa lap du an 062008_Sheet2" xfId="1219"/>
    <cellStyle name="3_Book1_Cau Nam Tot(ngay 2-10-2006)" xfId="1220"/>
    <cellStyle name="3_Book1_Cau Song Dao Km 1+51.54 (20-12-2006)" xfId="1221"/>
    <cellStyle name="3_Book1_Cau Song Dao Km 1+51.54 (20-12-2006)_thanh hoa lap du an 062008" xfId="1222"/>
    <cellStyle name="3_Book1_Cau Song Dao Km 1+51.54 (20-12-2006)_thanh hoa lap du an 062008_QT bieu 45 va 53 2011" xfId="1223"/>
    <cellStyle name="3_Book1_Cau Song Dao Km 1+51.54 (20-12-2006)_thanh hoa lap du an 062008_Sheet2" xfId="1224"/>
    <cellStyle name="3_Book1_CAU XOP XANG II(su­a)" xfId="1225"/>
    <cellStyle name="3_Book1_CAU XOP XANG II(su­a)_thanh hoa lap du an 062008" xfId="1226"/>
    <cellStyle name="3_Book1_CAU XOP XANG II(su­a)_thanh hoa lap du an 062008_QT bieu 45 va 53 2011" xfId="1227"/>
    <cellStyle name="3_Book1_CAU XOP XANG II(su­a)_thanh hoa lap du an 062008_Sheet2" xfId="1228"/>
    <cellStyle name="3_Book1_Dieu phoi dat goi 1" xfId="1229"/>
    <cellStyle name="3_Book1_Dieu phoi dat goi 2" xfId="1230"/>
    <cellStyle name="3_Book1_DT Kha thi ngay 11-2-06" xfId="1231"/>
    <cellStyle name="3_Book1_DT Kha thi ngay 11-2-06_thanh hoa lap du an 062008" xfId="1232"/>
    <cellStyle name="3_Book1_DT Kha thi ngay 11-2-06_thanh hoa lap du an 062008_QT bieu 45 va 53 2011" xfId="1233"/>
    <cellStyle name="3_Book1_DT Kha thi ngay 11-2-06_thanh hoa lap du an 062008_Sheet2" xfId="1234"/>
    <cellStyle name="3_Book1_DT ngay 04-01-2006" xfId="1235"/>
    <cellStyle name="3_Book1_DT ngay 11-4-2006" xfId="1236"/>
    <cellStyle name="3_Book1_DT ngay 15-11-05" xfId="1237"/>
    <cellStyle name="3_Book1_DT ngay 15-11-05_thanh hoa lap du an 062008" xfId="1238"/>
    <cellStyle name="3_Book1_DT ngay 15-11-05_thanh hoa lap du an 062008_QT bieu 45 va 53 2011" xfId="1239"/>
    <cellStyle name="3_Book1_DT ngay 15-11-05_thanh hoa lap du an 062008_Sheet2" xfId="1240"/>
    <cellStyle name="3_Book1_DT theo DM24" xfId="1241"/>
    <cellStyle name="3_Book1_Du toan KT-TCsua theo TT 03 - YC 471" xfId="1242"/>
    <cellStyle name="3_Book1_Du toan Phuong lam" xfId="1243"/>
    <cellStyle name="3_Book1_Du toan Phuong lam_thanh hoa lap du an 062008" xfId="1244"/>
    <cellStyle name="3_Book1_Du toan Phuong lam_thanh hoa lap du an 062008_QT bieu 45 va 53 2011" xfId="1245"/>
    <cellStyle name="3_Book1_Du toan Phuong lam_thanh hoa lap du an 062008_Sheet2" xfId="1246"/>
    <cellStyle name="3_Book1_Du toan QL 27 (23-12-2005)" xfId="1247"/>
    <cellStyle name="3_Book1_DuAnKT ngay 11-2-2006" xfId="1248"/>
    <cellStyle name="3_Book1_Goi 1" xfId="1249"/>
    <cellStyle name="3_Book1_Goi thau so 1 (14-12-2006)" xfId="1250"/>
    <cellStyle name="3_Book1_Goi thau so 1 (14-12-2006)_thanh hoa lap du an 062008" xfId="1251"/>
    <cellStyle name="3_Book1_Goi thau so 1 (14-12-2006)_thanh hoa lap du an 062008_QT bieu 45 va 53 2011" xfId="1252"/>
    <cellStyle name="3_Book1_Goi thau so 1 (14-12-2006)_thanh hoa lap du an 062008_Sheet2" xfId="1253"/>
    <cellStyle name="3_Book1_Goi thau so 2 (20-6-2006)" xfId="1254"/>
    <cellStyle name="3_Book1_Goi thau so 2 (20-6-2006)_thanh hoa lap du an 062008" xfId="1255"/>
    <cellStyle name="3_Book1_Goi thau so 2 (20-6-2006)_thanh hoa lap du an 062008_QT bieu 45 va 53 2011" xfId="1256"/>
    <cellStyle name="3_Book1_Goi thau so 2 (20-6-2006)_thanh hoa lap du an 062008_Sheet2" xfId="1257"/>
    <cellStyle name="3_Book1_Goi thau so 2 (30-01-2007)" xfId="1258"/>
    <cellStyle name="3_Book1_Goi thau so 2 (30-01-2007)_thanh hoa lap du an 062008" xfId="1259"/>
    <cellStyle name="3_Book1_Goi thau so 2 (30-01-2007)_thanh hoa lap du an 062008_QT bieu 45 va 53 2011" xfId="1260"/>
    <cellStyle name="3_Book1_Goi thau so 2 (30-01-2007)_thanh hoa lap du an 062008_Sheet2" xfId="1261"/>
    <cellStyle name="3_Book1_Goi02(25-05-2006)" xfId="1262"/>
    <cellStyle name="3_Book1_K C N - HUNG DONG L.NHUA" xfId="1263"/>
    <cellStyle name="3_Book1_K C N - HUNG DONG L.NHUA_thanh hoa lap du an 062008" xfId="1264"/>
    <cellStyle name="3_Book1_K C N - HUNG DONG L.NHUA_thanh hoa lap du an 062008_QT bieu 45 va 53 2011" xfId="1265"/>
    <cellStyle name="3_Book1_K C N - HUNG DONG L.NHUA_thanh hoa lap du an 062008_Sheet2" xfId="1266"/>
    <cellStyle name="3_Book1_Khoi Luong Hoang Truong - Hoang Phu" xfId="1267"/>
    <cellStyle name="3_Book1_Khoi Luong Hoang Truong - Hoang Phu_thanh hoa lap du an 062008" xfId="1268"/>
    <cellStyle name="3_Book1_Khoi Luong Hoang Truong - Hoang Phu_thanh hoa lap du an 062008_QT bieu 45 va 53 2011" xfId="1269"/>
    <cellStyle name="3_Book1_Khoi Luong Hoang Truong - Hoang Phu_thanh hoa lap du an 062008_Sheet2" xfId="1270"/>
    <cellStyle name="3_Book1_km48-53 (tham tra ngay 23-10-2006)" xfId="1271"/>
    <cellStyle name="3_Book1_Muong TL" xfId="1272"/>
    <cellStyle name="3_Book1_thanh hoa lap du an 062008" xfId="1273"/>
    <cellStyle name="3_Book1_thanh hoa lap du an 062008_QT bieu 45 va 53 2011" xfId="1274"/>
    <cellStyle name="3_Book1_thanh hoa lap du an 062008_Sheet2" xfId="1275"/>
    <cellStyle name="3_Book1_Tuyen so 1-Km0+00 - Km0+852.56" xfId="1276"/>
    <cellStyle name="3_Book1_TV sua ngay 02-08-06" xfId="1277"/>
    <cellStyle name="3_Book1_ÿÿÿÿÿ" xfId="1278"/>
    <cellStyle name="3_C" xfId="1279"/>
    <cellStyle name="3_Cau Bai Son 2 Km 0+270.26 (8-11-2006)" xfId="1280"/>
    <cellStyle name="3_Cau Hoi 115" xfId="1281"/>
    <cellStyle name="3_Cau Hoi 115_thanh hoa lap du an 062008" xfId="1282"/>
    <cellStyle name="3_Cau Hoi 115_thanh hoa lap du an 062008_QT bieu 45 va 53 2011" xfId="1283"/>
    <cellStyle name="3_Cau Hoi 115_thanh hoa lap du an 062008_Sheet2" xfId="1284"/>
    <cellStyle name="3_Cau Hua Trai (TT 04)" xfId="1285"/>
    <cellStyle name="3_Cau My Thinh sua theo don gia 59 (19-5-07)" xfId="1286"/>
    <cellStyle name="3_Cau Nam Tot(ngay 2-10-2006)" xfId="1287"/>
    <cellStyle name="3_Cau Nam Tot(ngay 2-10-2006)_thanh hoa lap du an 062008" xfId="1288"/>
    <cellStyle name="3_Cau Nam Tot(ngay 2-10-2006)_thanh hoa lap du an 062008_QT bieu 45 va 53 2011" xfId="1289"/>
    <cellStyle name="3_Cau Nam Tot(ngay 2-10-2006)_thanh hoa lap du an 062008_Sheet2" xfId="1290"/>
    <cellStyle name="3_Cau Song Dao Km 1+51.54 (20-12-2006)" xfId="1291"/>
    <cellStyle name="3_Cau Thanh Ha 1" xfId="1292"/>
    <cellStyle name="3_Cau thuy dien Ban La (Cu Anh)" xfId="1293"/>
    <cellStyle name="3_Cau thuy dien Ban La (Cu Anh)_thanh hoa lap du an 062008" xfId="1294"/>
    <cellStyle name="3_Cau thuy dien Ban La (Cu Anh)_thanh hoa lap du an 062008_QT bieu 45 va 53 2011" xfId="1295"/>
    <cellStyle name="3_Cau thuy dien Ban La (Cu Anh)_thanh hoa lap du an 062008_Sheet2" xfId="1296"/>
    <cellStyle name="3_CAU XOP XANG II(su­a)" xfId="1297"/>
    <cellStyle name="3_Chau Thon - Tan Xuan (goi 5)" xfId="1298"/>
    <cellStyle name="3_Chau Thon - Tan Xuan (KCS 8-12-06)" xfId="1299"/>
    <cellStyle name="3_Chi phi KS" xfId="1300"/>
    <cellStyle name="3_Chi tieu su nghiep VHXH 2009 chi tiet_01_12qh3t12" xfId="1301"/>
    <cellStyle name="3_Chinhthuc_Dongquyen_NLN" xfId="1302"/>
    <cellStyle name="3_ChiTieu_KeHoach_2009" xfId="1303"/>
    <cellStyle name="3_cong" xfId="1304"/>
    <cellStyle name="3_cu ly van chuyen" xfId="1305"/>
    <cellStyle name="3_Dakt-Cau tinh Hua Phan" xfId="1306"/>
    <cellStyle name="3_Danhmuc_Quyhoach2009" xfId="1307"/>
    <cellStyle name="3_DIEN" xfId="1308"/>
    <cellStyle name="3_Dieu phoi dat goi 1" xfId="1309"/>
    <cellStyle name="3_Dieu phoi dat goi 1_thanh hoa lap du an 062008" xfId="1310"/>
    <cellStyle name="3_Dieu phoi dat goi 1_thanh hoa lap du an 062008_QT bieu 45 va 53 2011" xfId="1311"/>
    <cellStyle name="3_Dieu phoi dat goi 1_thanh hoa lap du an 062008_Sheet2" xfId="1312"/>
    <cellStyle name="3_Dieu phoi dat goi 2" xfId="1313"/>
    <cellStyle name="3_Dieu phoi dat goi 2_thanh hoa lap du an 062008" xfId="1314"/>
    <cellStyle name="3_Dieu phoi dat goi 2_thanh hoa lap du an 062008_QT bieu 45 va 53 2011" xfId="1315"/>
    <cellStyle name="3_Dieu phoi dat goi 2_thanh hoa lap du an 062008_Sheet2" xfId="1316"/>
    <cellStyle name="3_Dinh muc thiet ke" xfId="1317"/>
    <cellStyle name="3_DONGIA" xfId="1318"/>
    <cellStyle name="3_DT Chau Hong  trinh ngay 09-01-07" xfId="1319"/>
    <cellStyle name="3_DT Chau Hong  trinh ngay 09-01-07_thanh hoa lap du an 062008" xfId="1320"/>
    <cellStyle name="3_DT Chau Hong  trinh ngay 09-01-07_thanh hoa lap du an 062008_QT bieu 45 va 53 2011" xfId="1321"/>
    <cellStyle name="3_DT Chau Hong  trinh ngay 09-01-07_thanh hoa lap du an 062008_Sheet2" xfId="1322"/>
    <cellStyle name="3_DT Kha thi ngay 11-2-06" xfId="1323"/>
    <cellStyle name="3_DT KT ngay 10-9-2005" xfId="1324"/>
    <cellStyle name="3_DT ngay 04-01-2006" xfId="1325"/>
    <cellStyle name="3_DT ngay 04-01-2006_thanh hoa lap du an 062008" xfId="1326"/>
    <cellStyle name="3_DT ngay 04-01-2006_thanh hoa lap du an 062008_QT bieu 45 va 53 2011" xfId="1327"/>
    <cellStyle name="3_DT ngay 04-01-2006_thanh hoa lap du an 062008_Sheet2" xfId="1328"/>
    <cellStyle name="3_DT ngay 11-4-2006" xfId="1329"/>
    <cellStyle name="3_DT ngay 11-4-2006_thanh hoa lap du an 062008" xfId="1330"/>
    <cellStyle name="3_DT ngay 11-4-2006_thanh hoa lap du an 062008_QT bieu 45 va 53 2011" xfId="1331"/>
    <cellStyle name="3_DT ngay 11-4-2006_thanh hoa lap du an 062008_Sheet2" xfId="1332"/>
    <cellStyle name="3_DT ngay 15-11-05" xfId="1333"/>
    <cellStyle name="3_DT theo DM24" xfId="1334"/>
    <cellStyle name="3_DT theo DM24_thanh hoa lap du an 062008" xfId="1335"/>
    <cellStyle name="3_DT theo DM24_thanh hoa lap du an 062008_QT bieu 45 va 53 2011" xfId="1336"/>
    <cellStyle name="3_DT theo DM24_thanh hoa lap du an 062008_Sheet2" xfId="1337"/>
    <cellStyle name="3_DT-497" xfId="1338"/>
    <cellStyle name="3_DT-497_thanh hoa lap du an 062008" xfId="1339"/>
    <cellStyle name="3_DT-497_thanh hoa lap du an 062008_QT bieu 45 va 53 2011" xfId="1340"/>
    <cellStyle name="3_DT-497_thanh hoa lap du an 062008_Sheet2" xfId="1341"/>
    <cellStyle name="3_DT-Khao-s¸t-TD" xfId="1342"/>
    <cellStyle name="3_DT-Khao-s¸t-TD_thanh hoa lap du an 062008" xfId="1343"/>
    <cellStyle name="3_DT-Khao-s¸t-TD_thanh hoa lap du an 062008_QT bieu 45 va 53 2011" xfId="1344"/>
    <cellStyle name="3_DT-Khao-s¸t-TD_thanh hoa lap du an 062008_Sheet2" xfId="1345"/>
    <cellStyle name="3_DTXL goi 11(20-9-05)" xfId="1346"/>
    <cellStyle name="3_du toan" xfId="1347"/>
    <cellStyle name="3_du toan (03-11-05)" xfId="1348"/>
    <cellStyle name="3_Du toan (12-05-2005) Tham dinh" xfId="1349"/>
    <cellStyle name="3_Du toan (12-05-2005) Tham dinh_thanh hoa lap du an 062008" xfId="1350"/>
    <cellStyle name="3_Du toan (12-05-2005) Tham dinh_thanh hoa lap du an 062008_QT bieu 45 va 53 2011" xfId="1351"/>
    <cellStyle name="3_Du toan (12-05-2005) Tham dinh_thanh hoa lap du an 062008_Sheet2" xfId="1352"/>
    <cellStyle name="3_Du toan (23-05-2005) Tham dinh" xfId="1353"/>
    <cellStyle name="3_Du toan (23-05-2005) Tham dinh_thanh hoa lap du an 062008" xfId="1354"/>
    <cellStyle name="3_Du toan (23-05-2005) Tham dinh_thanh hoa lap du an 062008_QT bieu 45 va 53 2011" xfId="1355"/>
    <cellStyle name="3_Du toan (23-05-2005) Tham dinh_thanh hoa lap du an 062008_Sheet2" xfId="1356"/>
    <cellStyle name="3_Du toan (5 - 04 - 2004)" xfId="1357"/>
    <cellStyle name="3_Du toan (5 - 04 - 2004)_thanh hoa lap du an 062008" xfId="1358"/>
    <cellStyle name="3_Du toan (5 - 04 - 2004)_thanh hoa lap du an 062008_QT bieu 45 va 53 2011" xfId="1359"/>
    <cellStyle name="3_Du toan (5 - 04 - 2004)_thanh hoa lap du an 062008_Sheet2" xfId="1360"/>
    <cellStyle name="3_Du toan (6-3-2005)" xfId="1361"/>
    <cellStyle name="3_Du toan (Ban A)" xfId="1362"/>
    <cellStyle name="3_Du toan (Ban A)_thanh hoa lap du an 062008" xfId="1363"/>
    <cellStyle name="3_Du toan (Ban A)_thanh hoa lap du an 062008_QT bieu 45 va 53 2011" xfId="1364"/>
    <cellStyle name="3_Du toan (Ban A)_thanh hoa lap du an 062008_Sheet2" xfId="1365"/>
    <cellStyle name="3_Du toan (ngay 13 - 07 - 2004)" xfId="1366"/>
    <cellStyle name="3_Du toan (ngay 13 - 07 - 2004)_thanh hoa lap du an 062008" xfId="1367"/>
    <cellStyle name="3_Du toan (ngay 13 - 07 - 2004)_thanh hoa lap du an 062008_QT bieu 45 va 53 2011" xfId="1368"/>
    <cellStyle name="3_Du toan (ngay 13 - 07 - 2004)_thanh hoa lap du an 062008_Sheet2" xfId="1369"/>
    <cellStyle name="3_Du toan (ngay 25-9-06)" xfId="1370"/>
    <cellStyle name="3_Du toan (ngay03-02-07) theo DG moi" xfId="1371"/>
    <cellStyle name="3_Du toan 558 (Km17+508.12 - Km 22)" xfId="1372"/>
    <cellStyle name="3_Du toan 558 (Km17+508.12 - Km 22)_thanh hoa lap du an 062008" xfId="1373"/>
    <cellStyle name="3_Du toan 558 (Km17+508.12 - Km 22)_thanh hoa lap du an 062008_QT bieu 45 va 53 2011" xfId="1374"/>
    <cellStyle name="3_Du toan 558 (Km17+508.12 - Km 22)_thanh hoa lap du an 062008_Sheet2" xfId="1375"/>
    <cellStyle name="3_Du toan bo sung (11-2004)" xfId="1376"/>
    <cellStyle name="3_Du toan Cang Vung Ang (Tham tra 3-11-06)" xfId="1377"/>
    <cellStyle name="3_Du toan Cang Vung Ang (Tham tra 3-11-06)_thanh hoa lap du an 062008" xfId="1378"/>
    <cellStyle name="3_Du toan Cang Vung Ang (Tham tra 3-11-06)_thanh hoa lap du an 062008_QT bieu 45 va 53 2011" xfId="1379"/>
    <cellStyle name="3_Du toan Cang Vung Ang (Tham tra 3-11-06)_thanh hoa lap du an 062008_Sheet2" xfId="1380"/>
    <cellStyle name="3_Du toan Cang Vung Ang ngay 09-8-06 " xfId="1381"/>
    <cellStyle name="3_Du toan Cang Vung Ang ngay 09-8-06 _thanh hoa lap du an 062008" xfId="1382"/>
    <cellStyle name="3_Du toan Cang Vung Ang ngay 09-8-06 _thanh hoa lap du an 062008_QT bieu 45 va 53 2011" xfId="1383"/>
    <cellStyle name="3_Du toan Cang Vung Ang ngay 09-8-06 _thanh hoa lap du an 062008_Sheet2" xfId="1384"/>
    <cellStyle name="3_Du toan dieu chin theo don gia moi (1-2-2007)" xfId="1385"/>
    <cellStyle name="3_Du toan Doan Km 53 - 60 sua theo tham tra(15-5-2007)" xfId="1386"/>
    <cellStyle name="3_Du toan Doan Km 53 - 60 sua theo tham tra(15-5-2007)_thanh hoa lap du an 062008" xfId="1387"/>
    <cellStyle name="3_Du toan Doan Km 53 - 60 sua theo tham tra(15-5-2007)_thanh hoa lap du an 062008_QT bieu 45 va 53 2011" xfId="1388"/>
    <cellStyle name="3_Du toan Doan Km 53 - 60 sua theo tham tra(15-5-2007)_thanh hoa lap du an 062008_Sheet2" xfId="1389"/>
    <cellStyle name="3_Du toan Doan Km 53 - 60 sua theo TV4 tham tra(9-6-2007)" xfId="1390"/>
    <cellStyle name="3_Du toan Goi 1" xfId="1391"/>
    <cellStyle name="3_Du toan Goi 1_thanh hoa lap du an 062008" xfId="1392"/>
    <cellStyle name="3_Du toan Goi 1_thanh hoa lap du an 062008_QT bieu 45 va 53 2011" xfId="1393"/>
    <cellStyle name="3_Du toan Goi 1_thanh hoa lap du an 062008_Sheet2" xfId="1394"/>
    <cellStyle name="3_du toan goi 12" xfId="1395"/>
    <cellStyle name="3_Du toan Goi 2" xfId="1396"/>
    <cellStyle name="3_Du toan Goi 2_thanh hoa lap du an 062008" xfId="1397"/>
    <cellStyle name="3_Du toan Goi 2_thanh hoa lap du an 062008_QT bieu 45 va 53 2011" xfId="1398"/>
    <cellStyle name="3_Du toan Goi 2_thanh hoa lap du an 062008_Sheet2" xfId="1399"/>
    <cellStyle name="3_Du toan Huong Lam - Ban Giang (ngay28-11-06)" xfId="1400"/>
    <cellStyle name="3_Du toan Huong Lam - Ban Giang (ngay28-11-06)_thanh hoa lap du an 062008" xfId="1401"/>
    <cellStyle name="3_Du toan Huong Lam - Ban Giang (ngay28-11-06)_thanh hoa lap du an 062008_QT bieu 45 va 53 2011" xfId="1402"/>
    <cellStyle name="3_Du toan Huong Lam - Ban Giang (ngay28-11-06)_thanh hoa lap du an 062008_Sheet2" xfId="1403"/>
    <cellStyle name="3_Du toan Huong Lam - Ban Giang theo DG 59 (ngay3-2-07)" xfId="1404"/>
    <cellStyle name="3_Du toan Huong Lam - Ban Giang theo DG 59 (ngay3-2-07)_thanh hoa lap du an 062008" xfId="1405"/>
    <cellStyle name="3_Du toan Huong Lam - Ban Giang theo DG 59 (ngay3-2-07)_thanh hoa lap du an 062008_QT bieu 45 va 53 2011" xfId="1406"/>
    <cellStyle name="3_Du toan Huong Lam - Ban Giang theo DG 59 (ngay3-2-07)_thanh hoa lap du an 062008_Sheet2" xfId="1407"/>
    <cellStyle name="3_Du toan khao sat don 553 (da sua 16.5.08)" xfId="1408"/>
    <cellStyle name="3_Du toan KT-TCsua theo TT 03 - YC 471" xfId="1409"/>
    <cellStyle name="3_Du toan KT-TCsua theo TT 03 - YC 471_thanh hoa lap du an 062008" xfId="1410"/>
    <cellStyle name="3_Du toan KT-TCsua theo TT 03 - YC 471_thanh hoa lap du an 062008_QT bieu 45 va 53 2011" xfId="1411"/>
    <cellStyle name="3_Du toan KT-TCsua theo TT 03 - YC 471_thanh hoa lap du an 062008_Sheet2" xfId="1412"/>
    <cellStyle name="3_Du toan ngay (28-10-2005)" xfId="1413"/>
    <cellStyle name="3_Du toan ngay (28-10-2005)_thanh hoa lap du an 062008" xfId="1414"/>
    <cellStyle name="3_Du toan ngay (28-10-2005)_thanh hoa lap du an 062008_QT bieu 45 va 53 2011" xfId="1415"/>
    <cellStyle name="3_Du toan ngay (28-10-2005)_thanh hoa lap du an 062008_Sheet2" xfId="1416"/>
    <cellStyle name="3_Du toan ngay 16-4-2007" xfId="1417"/>
    <cellStyle name="3_Du toan ngay 1-9-2004 (version 1)" xfId="1418"/>
    <cellStyle name="3_Du toan ngay 1-9-2004 (version 1)_thanh hoa lap du an 062008" xfId="1419"/>
    <cellStyle name="3_Du toan ngay 1-9-2004 (version 1)_thanh hoa lap du an 062008_QT bieu 45 va 53 2011" xfId="1420"/>
    <cellStyle name="3_Du toan ngay 1-9-2004 (version 1)_thanh hoa lap du an 062008_Sheet2" xfId="1421"/>
    <cellStyle name="3_Du toan Phuong lam" xfId="1422"/>
    <cellStyle name="3_Du toan QL 27 (23-12-2005)" xfId="1423"/>
    <cellStyle name="3_Du toan QL 27 (23-12-2005)_thanh hoa lap du an 062008" xfId="1424"/>
    <cellStyle name="3_Du toan QL 27 (23-12-2005)_thanh hoa lap du an 062008_QT bieu 45 va 53 2011" xfId="1425"/>
    <cellStyle name="3_Du toan QL 27 (23-12-2005)_thanh hoa lap du an 062008_Sheet2" xfId="1426"/>
    <cellStyle name="3_Du toan Tay Thanh Hoa duyetcuoi" xfId="1427"/>
    <cellStyle name="3_Du toan Tay Thanh Hoa duyetcuoi_thanh hoa lap du an 062008" xfId="1428"/>
    <cellStyle name="3_Du toan Tay Thanh Hoa duyetcuoi_thanh hoa lap du an 062008_QT bieu 45 va 53 2011" xfId="1429"/>
    <cellStyle name="3_Du toan Tay Thanh Hoa duyetcuoi_thanh hoa lap du an 062008_Sheet2" xfId="1430"/>
    <cellStyle name="3_Du_toan_Ho_Xa___Vinh_Tan_WB3 sua ngay 18-8-06" xfId="1431"/>
    <cellStyle name="3_Du_toan_Ho_Xa___Vinh_Tan_WB3 sua ngay 18-8-06_thanh hoa lap du an 062008" xfId="1432"/>
    <cellStyle name="3_Du_toan_Ho_Xa___Vinh_Tan_WB3 sua ngay 18-8-06_thanh hoa lap du an 062008_QT bieu 45 va 53 2011" xfId="1433"/>
    <cellStyle name="3_Du_toan_Ho_Xa___Vinh_Tan_WB3 sua ngay 18-8-06_thanh hoa lap du an 062008_Sheet2" xfId="1434"/>
    <cellStyle name="3_DuAnKT ngay 11-2-2006" xfId="1435"/>
    <cellStyle name="3_DuAnKT ngay 11-2-2006_thanh hoa lap du an 062008" xfId="1436"/>
    <cellStyle name="3_DuAnKT ngay 11-2-2006_thanh hoa lap du an 062008_QT bieu 45 va 53 2011" xfId="1437"/>
    <cellStyle name="3_DuAnKT ngay 11-2-2006_thanh hoa lap du an 062008_Sheet2" xfId="1438"/>
    <cellStyle name="3_Gia_VL cau-JIBIC-Ha-tinh" xfId="1439"/>
    <cellStyle name="3_Gia_VL cau-JIBIC-Ha-tinh_thanh hoa lap du an 062008" xfId="1440"/>
    <cellStyle name="3_Gia_VL cau-JIBIC-Ha-tinh_thanh hoa lap du an 062008_QT bieu 45 va 53 2011" xfId="1441"/>
    <cellStyle name="3_Gia_VL cau-JIBIC-Ha-tinh_thanh hoa lap du an 062008_Sheet2" xfId="1442"/>
    <cellStyle name="3_Gia_VLQL48_duyet " xfId="1443"/>
    <cellStyle name="3_Gia_VLQL48_duyet _thanh hoa lap du an 062008" xfId="1444"/>
    <cellStyle name="3_Gia_VLQL48_duyet _thanh hoa lap du an 062008_QT bieu 45 va 53 2011" xfId="1445"/>
    <cellStyle name="3_Gia_VLQL48_duyet _thanh hoa lap du an 062008_Sheet2" xfId="1446"/>
    <cellStyle name="3_goi 1" xfId="1447"/>
    <cellStyle name="3_Goi 1 (TT04)" xfId="1448"/>
    <cellStyle name="3_goi 1 duyet theo luong mo (an)" xfId="1449"/>
    <cellStyle name="3_Goi 1_1" xfId="1450"/>
    <cellStyle name="3_Goi 1_1_thanh hoa lap du an 062008" xfId="1451"/>
    <cellStyle name="3_Goi 1_1_thanh hoa lap du an 062008_QT bieu 45 va 53 2011" xfId="1452"/>
    <cellStyle name="3_Goi 1_1_thanh hoa lap du an 062008_Sheet2" xfId="1453"/>
    <cellStyle name="3_Goi so 1" xfId="1454"/>
    <cellStyle name="3_Goi thau so 08 (11-05-2007)" xfId="1455"/>
    <cellStyle name="3_Goi thau so 1 (14-12-2006)" xfId="1456"/>
    <cellStyle name="3_Goi thau so 2 (20-6-2006)" xfId="1457"/>
    <cellStyle name="3_Goi02(25-05-2006)" xfId="1458"/>
    <cellStyle name="3_Goi02(25-05-2006)_thanh hoa lap du an 062008" xfId="1459"/>
    <cellStyle name="3_Goi02(25-05-2006)_thanh hoa lap du an 062008_QT bieu 45 va 53 2011" xfId="1460"/>
    <cellStyle name="3_Goi02(25-05-2006)_thanh hoa lap du an 062008_Sheet2" xfId="1461"/>
    <cellStyle name="3_Goi1N206" xfId="1462"/>
    <cellStyle name="3_Goi1N206_thanh hoa lap du an 062008" xfId="1463"/>
    <cellStyle name="3_Goi1N206_thanh hoa lap du an 062008_QT bieu 45 va 53 2011" xfId="1464"/>
    <cellStyle name="3_Goi1N206_thanh hoa lap du an 062008_Sheet2" xfId="1465"/>
    <cellStyle name="3_Goi2N206" xfId="1466"/>
    <cellStyle name="3_Goi2N206_thanh hoa lap du an 062008" xfId="1467"/>
    <cellStyle name="3_Goi2N206_thanh hoa lap du an 062008_QT bieu 45 va 53 2011" xfId="1468"/>
    <cellStyle name="3_Goi2N206_thanh hoa lap du an 062008_Sheet2" xfId="1469"/>
    <cellStyle name="3_Goi4N216" xfId="1470"/>
    <cellStyle name="3_Goi4N216_thanh hoa lap du an 062008" xfId="1471"/>
    <cellStyle name="3_Goi4N216_thanh hoa lap du an 062008_QT bieu 45 va 53 2011" xfId="1472"/>
    <cellStyle name="3_Goi4N216_thanh hoa lap du an 062008_Sheet2" xfId="1473"/>
    <cellStyle name="3_Goi5N216" xfId="1474"/>
    <cellStyle name="3_Goi5N216_thanh hoa lap du an 062008" xfId="1475"/>
    <cellStyle name="3_Goi5N216_thanh hoa lap du an 062008_QT bieu 45 va 53 2011" xfId="1476"/>
    <cellStyle name="3_Goi5N216_thanh hoa lap du an 062008_Sheet2" xfId="1477"/>
    <cellStyle name="3_Hoi Song" xfId="1478"/>
    <cellStyle name="3_HT-LO" xfId="1479"/>
    <cellStyle name="3_HT-LO_thanh hoa lap du an 062008" xfId="1480"/>
    <cellStyle name="3_HT-LO_thanh hoa lap du an 062008_QT bieu 45 va 53 2011" xfId="1481"/>
    <cellStyle name="3_HT-LO_thanh hoa lap du an 062008_Sheet2" xfId="1482"/>
    <cellStyle name="3_Huong Lam - Ban Giang (11-4-2007)" xfId="1483"/>
    <cellStyle name="3_Huong Lam - Ban Giang (11-4-2007)_thanh hoa lap du an 062008" xfId="1484"/>
    <cellStyle name="3_Huong Lam - Ban Giang (11-4-2007)_thanh hoa lap du an 062008_QT bieu 45 va 53 2011" xfId="1485"/>
    <cellStyle name="3_Huong Lam - Ban Giang (11-4-2007)_thanh hoa lap du an 062008_Sheet2" xfId="1486"/>
    <cellStyle name="3_KH Von Dieu tra CBMT 2009ngay3t12qh4t12" xfId="1487"/>
    <cellStyle name="3_KH_2009_CongThuong" xfId="1488"/>
    <cellStyle name="3_KH_SXNL_2009" xfId="1489"/>
    <cellStyle name="3_Khoi luong" xfId="1490"/>
    <cellStyle name="3_Khoi luong doan 1" xfId="1491"/>
    <cellStyle name="3_Khoi luong doan 1_thanh hoa lap du an 062008" xfId="1492"/>
    <cellStyle name="3_Khoi luong doan 1_thanh hoa lap du an 062008_QT bieu 45 va 53 2011" xfId="1493"/>
    <cellStyle name="3_Khoi luong doan 1_thanh hoa lap du an 062008_Sheet2" xfId="1494"/>
    <cellStyle name="3_Khoi luong doan 2" xfId="1495"/>
    <cellStyle name="3_Khoi luong doan 2_thanh hoa lap du an 062008" xfId="1496"/>
    <cellStyle name="3_Khoi luong doan 2_thanh hoa lap du an 062008_QT bieu 45 va 53 2011" xfId="1497"/>
    <cellStyle name="3_Khoi luong doan 2_thanh hoa lap du an 062008_Sheet2" xfId="1498"/>
    <cellStyle name="3_Khoi Luong Hoang Truong - Hoang Phu" xfId="1499"/>
    <cellStyle name="3_Khoi Luong Hoang Truong - Hoang Phu_thanh hoa lap du an 062008" xfId="1500"/>
    <cellStyle name="3_Khoi Luong Hoang Truong - Hoang Phu_thanh hoa lap du an 062008_QT bieu 45 va 53 2011" xfId="1501"/>
    <cellStyle name="3_Khoi Luong Hoang Truong - Hoang Phu_thanh hoa lap du an 062008_Sheet2" xfId="1502"/>
    <cellStyle name="3_Khoi luong_thanh hoa lap du an 062008" xfId="1503"/>
    <cellStyle name="3_Khoi luong_thanh hoa lap du an 062008_QT bieu 45 va 53 2011" xfId="1504"/>
    <cellStyle name="3_Khoi luong_thanh hoa lap du an 062008_Sheet2" xfId="1505"/>
    <cellStyle name="3_KHXDCB_2009_ HDND" xfId="1506"/>
    <cellStyle name="3_Kiennghi_TTCP" xfId="1507"/>
    <cellStyle name="3_Kiennghi_TTCP_Bosung" xfId="1508"/>
    <cellStyle name="3_Kiennghi_TTCP_Bosung_lan2" xfId="1509"/>
    <cellStyle name="3_Kiennghibosungvon_TTCP_2" xfId="1510"/>
    <cellStyle name="3_KL" xfId="1511"/>
    <cellStyle name="3_KL_Cau My Thinh sua theo don gia 59 (19-5-07)" xfId="1512"/>
    <cellStyle name="3_KL_Cau My Thinh sua theo don gia 59 (19-5-07)_thanh hoa lap du an 062008" xfId="1513"/>
    <cellStyle name="3_KL_Cau My Thinh sua theo don gia 59 (19-5-07)_thanh hoa lap du an 062008_QT bieu 45 va 53 2011" xfId="1514"/>
    <cellStyle name="3_KL_Cau My Thinh sua theo don gia 59 (19-5-07)_thanh hoa lap du an 062008_Sheet2" xfId="1515"/>
    <cellStyle name="3_Kl_DT_Tham_Dinh_497_16-4-07" xfId="1516"/>
    <cellStyle name="3_KL_DT-497" xfId="1517"/>
    <cellStyle name="3_KL_DT-497_thanh hoa lap du an 062008" xfId="1518"/>
    <cellStyle name="3_KL_DT-497_thanh hoa lap du an 062008_QT bieu 45 va 53 2011" xfId="1519"/>
    <cellStyle name="3_KL_DT-497_thanh hoa lap du an 062008_Sheet2" xfId="1520"/>
    <cellStyle name="3_KL_DT-Khao-s¸t-TD" xfId="1521"/>
    <cellStyle name="3_KL_DT-Khao-s¸t-TD_thanh hoa lap du an 062008" xfId="1522"/>
    <cellStyle name="3_KL_DT-Khao-s¸t-TD_thanh hoa lap du an 062008_QT bieu 45 va 53 2011" xfId="1523"/>
    <cellStyle name="3_KL_DT-Khao-s¸t-TD_thanh hoa lap du an 062008_Sheet2" xfId="1524"/>
    <cellStyle name="3_KL_Huong Lam - Ban Giang (11-4-2007)" xfId="1525"/>
    <cellStyle name="3_KL_Huong Lam - Ban Giang (11-4-2007)_thanh hoa lap du an 062008" xfId="1526"/>
    <cellStyle name="3_KL_Huong Lam - Ban Giang (11-4-2007)_thanh hoa lap du an 062008_QT bieu 45 va 53 2011" xfId="1527"/>
    <cellStyle name="3_KL_Huong Lam - Ban Giang (11-4-2007)_thanh hoa lap du an 062008_Sheet2" xfId="1528"/>
    <cellStyle name="3_KL_thanh hoa lap du an 062008" xfId="1529"/>
    <cellStyle name="3_KL_thanh hoa lap du an 062008_QT bieu 45 va 53 2011" xfId="1530"/>
    <cellStyle name="3_KL_thanh hoa lap du an 062008_Sheet2" xfId="1531"/>
    <cellStyle name="3_Kl6-6-05" xfId="1532"/>
    <cellStyle name="3_KLCongTh" xfId="1533"/>
    <cellStyle name="3_Kldoan3" xfId="1534"/>
    <cellStyle name="3_Kldoan3_thanh hoa lap du an 062008" xfId="1535"/>
    <cellStyle name="3_Kldoan3_thanh hoa lap du an 062008_QT bieu 45 va 53 2011" xfId="1536"/>
    <cellStyle name="3_Kldoan3_thanh hoa lap du an 062008_Sheet2" xfId="1537"/>
    <cellStyle name="3_KLhoxa" xfId="1538"/>
    <cellStyle name="3_Klnutgiao" xfId="1539"/>
    <cellStyle name="3_KLPA2s" xfId="1540"/>
    <cellStyle name="3_KlQdinhduyet" xfId="1541"/>
    <cellStyle name="3_KlQdinhduyet_thanh hoa lap du an 062008" xfId="1542"/>
    <cellStyle name="3_KlQdinhduyet_thanh hoa lap du an 062008_QT bieu 45 va 53 2011" xfId="1543"/>
    <cellStyle name="3_KlQdinhduyet_thanh hoa lap du an 062008_Sheet2" xfId="1544"/>
    <cellStyle name="3_KlQL4goi5KCS" xfId="1545"/>
    <cellStyle name="3_Kltayth" xfId="1546"/>
    <cellStyle name="3_KltaythQDduyet" xfId="1547"/>
    <cellStyle name="3_Kluong4-2004" xfId="1548"/>
    <cellStyle name="3_Kluong4-2004_thanh hoa lap du an 062008" xfId="1549"/>
    <cellStyle name="3_Kluong4-2004_thanh hoa lap du an 062008_QT bieu 45 va 53 2011" xfId="1550"/>
    <cellStyle name="3_Kluong4-2004_thanh hoa lap du an 062008_Sheet2" xfId="1551"/>
    <cellStyle name="3_Km 48 - 53 (sua nap TVTT 6-7-2007)" xfId="1552"/>
    <cellStyle name="3_Km 48 - 53 (sua nap TVTT 6-7-2007)_thanh hoa lap du an 062008" xfId="1553"/>
    <cellStyle name="3_Km 48 - 53 (sua nap TVTT 6-7-2007)_thanh hoa lap du an 062008_QT bieu 45 va 53 2011" xfId="1554"/>
    <cellStyle name="3_Km 48 - 53 (sua nap TVTT 6-7-2007)_thanh hoa lap du an 062008_Sheet2" xfId="1555"/>
    <cellStyle name="3_Km2" xfId="1556"/>
    <cellStyle name="3_Km3" xfId="1557"/>
    <cellStyle name="3_km4-6" xfId="1558"/>
    <cellStyle name="3_km48-53 (tham tra ngay 23-10-2006)" xfId="1559"/>
    <cellStyle name="3_km48-53 (tham tra ngay 23-10-2006)_thanh hoa lap du an 062008" xfId="1560"/>
    <cellStyle name="3_km48-53 (tham tra ngay 23-10-2006)_thanh hoa lap du an 062008_QT bieu 45 va 53 2011" xfId="1561"/>
    <cellStyle name="3_km48-53 (tham tra ngay 23-10-2006)_thanh hoa lap du an 062008_Sheet2" xfId="1562"/>
    <cellStyle name="3_km48-53 (tham tra ngay 23-10-2006)theo gi¸ ca m¸y míi" xfId="1563"/>
    <cellStyle name="3_km48-53 (tham tra ngay 23-10-2006)theo gi¸ ca m¸y míi_thanh hoa lap du an 062008" xfId="1564"/>
    <cellStyle name="3_km48-53 (tham tra ngay 23-10-2006)theo gi¸ ca m¸y míi_thanh hoa lap du an 062008_QT bieu 45 va 53 2011" xfId="1565"/>
    <cellStyle name="3_km48-53 (tham tra ngay 23-10-2006)theo gi¸ ca m¸y míi_thanh hoa lap du an 062008_Sheet2" xfId="1566"/>
    <cellStyle name="3_Luong A6" xfId="1567"/>
    <cellStyle name="3_maugiacotaluy" xfId="1568"/>
    <cellStyle name="3_My Thanh Son Thanh" xfId="1569"/>
    <cellStyle name="3_Nhom I" xfId="1570"/>
    <cellStyle name="3_Nhom I_thanh hoa lap du an 062008" xfId="1571"/>
    <cellStyle name="3_Nhom I_thanh hoa lap du an 062008_QT bieu 45 va 53 2011" xfId="1572"/>
    <cellStyle name="3_Nhom I_thanh hoa lap du an 062008_Sheet2" xfId="1573"/>
    <cellStyle name="3_Phanbotindung_2009_KH" xfId="1574"/>
    <cellStyle name="3_Phu luc KS" xfId="1575"/>
    <cellStyle name="3_Project N.Du" xfId="1576"/>
    <cellStyle name="3_Project N.Du.dien" xfId="1577"/>
    <cellStyle name="3_Project N.Du_thanh hoa lap du an 062008" xfId="1578"/>
    <cellStyle name="3_Project N.Du_thanh hoa lap du an 062008_QT bieu 45 va 53 2011" xfId="1579"/>
    <cellStyle name="3_Project N.Du_thanh hoa lap du an 062008_Sheet2" xfId="1580"/>
    <cellStyle name="3_Project QL4" xfId="1581"/>
    <cellStyle name="3_Project QL4 goi 7" xfId="1582"/>
    <cellStyle name="3_Project QL4 goi 7_thanh hoa lap du an 062008" xfId="1583"/>
    <cellStyle name="3_Project QL4 goi 7_thanh hoa lap du an 062008_QT bieu 45 va 53 2011" xfId="1584"/>
    <cellStyle name="3_Project QL4 goi 7_thanh hoa lap du an 062008_Sheet2" xfId="1585"/>
    <cellStyle name="3_Project QL4 goi5" xfId="1586"/>
    <cellStyle name="3_Project QL4 goi8" xfId="1587"/>
    <cellStyle name="3_QL1A-SUA2005" xfId="1588"/>
    <cellStyle name="3_QL1A-SUA2005_thanh hoa lap du an 062008" xfId="1589"/>
    <cellStyle name="3_QL1A-SUA2005_thanh hoa lap du an 062008_QT bieu 45 va 53 2011" xfId="1590"/>
    <cellStyle name="3_QL1A-SUA2005_thanh hoa lap du an 062008_Sheet2" xfId="1591"/>
    <cellStyle name="3_Sheet1" xfId="1592"/>
    <cellStyle name="3_Sheet1_Cau My Thinh sua theo don gia 59 (19-5-07)" xfId="1593"/>
    <cellStyle name="3_Sheet1_DT_Tham_Dinh_497_16-4-07" xfId="1594"/>
    <cellStyle name="3_Sheet1_DT-497" xfId="1595"/>
    <cellStyle name="3_Sheet1_DT-Khao-s¸t-TD" xfId="1596"/>
    <cellStyle name="3_Sheet1_Huong Lam - Ban Giang (11-4-2007)" xfId="1597"/>
    <cellStyle name="3_SuoiTon" xfId="1598"/>
    <cellStyle name="3_SuoiTon_thanh hoa lap du an 062008" xfId="1599"/>
    <cellStyle name="3_SuoiTon_thanh hoa lap du an 062008_QT bieu 45 va 53 2011" xfId="1600"/>
    <cellStyle name="3_SuoiTon_thanh hoa lap du an 062008_Sheet2" xfId="1601"/>
    <cellStyle name="3_t" xfId="1602"/>
    <cellStyle name="3_TamkhoanKSDH" xfId="1603"/>
    <cellStyle name="3_Tay THoa" xfId="1604"/>
    <cellStyle name="3_Tay THoa_thanh hoa lap du an 062008" xfId="1605"/>
    <cellStyle name="3_Tay THoa_thanh hoa lap du an 062008_QT bieu 45 va 53 2011" xfId="1606"/>
    <cellStyle name="3_Tay THoa_thanh hoa lap du an 062008_Sheet2" xfId="1607"/>
    <cellStyle name="3_Tham tra (8-11)1" xfId="1608"/>
    <cellStyle name="3_Tham tra (8-11)1_thanh hoa lap du an 062008" xfId="1609"/>
    <cellStyle name="3_Tham tra (8-11)1_thanh hoa lap du an 062008_QT bieu 45 va 53 2011" xfId="1610"/>
    <cellStyle name="3_Tham tra (8-11)1_thanh hoa lap du an 062008_Sheet2" xfId="1611"/>
    <cellStyle name="3_THkl" xfId="1612"/>
    <cellStyle name="3_THkl_thanh hoa lap du an 062008" xfId="1613"/>
    <cellStyle name="3_THkl_thanh hoa lap du an 062008_QT bieu 45 va 53 2011" xfId="1614"/>
    <cellStyle name="3_THkl_thanh hoa lap du an 062008_Sheet2" xfId="1615"/>
    <cellStyle name="3_THklpa2" xfId="1616"/>
    <cellStyle name="3_THklpa2_thanh hoa lap du an 062008" xfId="1617"/>
    <cellStyle name="3_THklpa2_thanh hoa lap du an 062008_QT bieu 45 va 53 2011" xfId="1618"/>
    <cellStyle name="3_THklpa2_thanh hoa lap du an 062008_Sheet2" xfId="1619"/>
    <cellStyle name="3_Tong hop DT dieu chinh duong 38-95" xfId="1620"/>
    <cellStyle name="3_Tong hop khoi luong duong 557 (30-5-2006)" xfId="1621"/>
    <cellStyle name="3_Tong muc dau tu" xfId="1622"/>
    <cellStyle name="3_Tuyen so 1-Km0+00 - Km0+852.56" xfId="1623"/>
    <cellStyle name="3_Tuyen so 1-Km0+00 - Km0+852.56_thanh hoa lap du an 062008" xfId="1624"/>
    <cellStyle name="3_Tuyen so 1-Km0+00 - Km0+852.56_thanh hoa lap du an 062008_QT bieu 45 va 53 2011" xfId="1625"/>
    <cellStyle name="3_Tuyen so 1-Km0+00 - Km0+852.56_thanh hoa lap du an 062008_Sheet2" xfId="1626"/>
    <cellStyle name="3_TV sua ngay 02-08-06" xfId="1627"/>
    <cellStyle name="3_TV sua ngay 02-08-06_thanh hoa lap du an 062008" xfId="1628"/>
    <cellStyle name="3_TV sua ngay 02-08-06_thanh hoa lap du an 062008_QT bieu 45 va 53 2011" xfId="1629"/>
    <cellStyle name="3_TV sua ngay 02-08-06_thanh hoa lap du an 062008_Sheet2" xfId="1630"/>
    <cellStyle name="3_VatLieu 3 cau -NA" xfId="1631"/>
    <cellStyle name="3_VatLieu 3 cau -NA_thanh hoa lap du an 062008" xfId="1632"/>
    <cellStyle name="3_VatLieu 3 cau -NA_thanh hoa lap du an 062008_QT bieu 45 va 53 2011" xfId="1633"/>
    <cellStyle name="3_VatLieu 3 cau -NA_thanh hoa lap du an 062008_Sheet2" xfId="1634"/>
    <cellStyle name="3_ÿÿÿÿÿ" xfId="1635"/>
    <cellStyle name="3_ÿÿÿÿÿ_1" xfId="1636"/>
    <cellStyle name="3_ÿÿÿÿÿ_1_thanh hoa lap du an 062008" xfId="1637"/>
    <cellStyle name="3_ÿÿÿÿÿ_1_thanh hoa lap du an 062008_QT bieu 45 va 53 2011" xfId="1638"/>
    <cellStyle name="3_ÿÿÿÿÿ_1_thanh hoa lap du an 062008_Sheet2" xfId="1639"/>
    <cellStyle name="4" xfId="1640"/>
    <cellStyle name="4_6.Bang_luong_moi_XDCB" xfId="1641"/>
    <cellStyle name="4_A che do KS +chi BQL" xfId="1642"/>
    <cellStyle name="4_BANG CAM COC GPMB 8km" xfId="1643"/>
    <cellStyle name="4_BANG CAM COC GPMB 8km_thanh hoa lap du an 062008" xfId="1644"/>
    <cellStyle name="4_BANG CAM COC GPMB 8km_thanh hoa lap du an 062008_QT bieu 45 va 53 2011" xfId="1645"/>
    <cellStyle name="4_BANG CAM COC GPMB 8km_thanh hoa lap du an 062008_Sheet2" xfId="1646"/>
    <cellStyle name="4_Bang tong hop khoi luong" xfId="1647"/>
    <cellStyle name="4_Book1" xfId="1648"/>
    <cellStyle name="4_Book1_1" xfId="1649"/>
    <cellStyle name="4_Book1_1_thanh hoa lap du an 062008" xfId="1650"/>
    <cellStyle name="4_Book1_1_thanh hoa lap du an 062008_QT bieu 45 va 53 2011" xfId="1651"/>
    <cellStyle name="4_Book1_1_thanh hoa lap du an 062008_Sheet2" xfId="1652"/>
    <cellStyle name="4_Book1_Book1" xfId="1653"/>
    <cellStyle name="4_Book1_Book1_Book1" xfId="1654"/>
    <cellStyle name="4_Book1_Book1_Book1_QT bieu 45 va 53 2011" xfId="1655"/>
    <cellStyle name="4_Book1_Book1_Book1_Sheet2" xfId="1656"/>
    <cellStyle name="4_Book1_Book1_thanh hoa lap du an 062008" xfId="1657"/>
    <cellStyle name="4_Book1_Cau Bai Son 2 Km 0+270.26 (8-11-2006)" xfId="1658"/>
    <cellStyle name="4_Book1_Cau Bai Son 2 Km 0+270.26 (8-11-2006)_thanh hoa lap du an 062008" xfId="1659"/>
    <cellStyle name="4_Book1_Cau Bai Son 2 Km 0+270.26 (8-11-2006)_thanh hoa lap du an 062008_QT bieu 45 va 53 2011" xfId="1660"/>
    <cellStyle name="4_Book1_Cau Bai Son 2 Km 0+270.26 (8-11-2006)_thanh hoa lap du an 062008_Sheet2" xfId="1661"/>
    <cellStyle name="4_Book1_Cau Hoa Son Km 1+441.06 (14-12-2006)" xfId="1662"/>
    <cellStyle name="4_Book1_Cau Hoa Son Km 1+441.06 (14-12-2006)_thanh hoa lap du an 062008" xfId="1663"/>
    <cellStyle name="4_Book1_Cau Hoa Son Km 1+441.06 (14-12-2006)_thanh hoa lap du an 062008_QT bieu 45 va 53 2011" xfId="1664"/>
    <cellStyle name="4_Book1_Cau Hoa Son Km 1+441.06 (14-12-2006)_thanh hoa lap du an 062008_Sheet2" xfId="1665"/>
    <cellStyle name="4_Book1_Cau Hoa Son Km 1+441.06 (22-10-2006)" xfId="1666"/>
    <cellStyle name="4_Book1_Cau Hoa Son Km 1+441.06 (22-10-2006)_thanh hoa lap du an 062008" xfId="1667"/>
    <cellStyle name="4_Book1_Cau Hoa Son Km 1+441.06 (22-10-2006)_thanh hoa lap du an 062008_QT bieu 45 va 53 2011" xfId="1668"/>
    <cellStyle name="4_Book1_Cau Hoa Son Km 1+441.06 (22-10-2006)_thanh hoa lap du an 062008_Sheet2" xfId="1669"/>
    <cellStyle name="4_Book1_Cau Hoa Son Km 1+441.06 (24-10-2006)" xfId="1670"/>
    <cellStyle name="4_Book1_Cau Hoa Son Km 1+441.06 (24-10-2006)_thanh hoa lap du an 062008" xfId="1671"/>
    <cellStyle name="4_Book1_Cau Hoa Son Km 1+441.06 (24-10-2006)_thanh hoa lap du an 062008_QT bieu 45 va 53 2011" xfId="1672"/>
    <cellStyle name="4_Book1_Cau Hoa Son Km 1+441.06 (24-10-2006)_thanh hoa lap du an 062008_Sheet2" xfId="1673"/>
    <cellStyle name="4_Book1_Cau Nam Tot(ngay 2-10-2006)" xfId="1674"/>
    <cellStyle name="4_Book1_Cau Song Dao Km 1+51.54 (20-12-2006)" xfId="1675"/>
    <cellStyle name="4_Book1_Cau Song Dao Km 1+51.54 (20-12-2006)_thanh hoa lap du an 062008" xfId="1676"/>
    <cellStyle name="4_Book1_Cau Song Dao Km 1+51.54 (20-12-2006)_thanh hoa lap du an 062008_QT bieu 45 va 53 2011" xfId="1677"/>
    <cellStyle name="4_Book1_Cau Song Dao Km 1+51.54 (20-12-2006)_thanh hoa lap du an 062008_Sheet2" xfId="1678"/>
    <cellStyle name="4_Book1_CAU XOP XANG II(su­a)" xfId="1679"/>
    <cellStyle name="4_Book1_CAU XOP XANG II(su­a)_thanh hoa lap du an 062008" xfId="1680"/>
    <cellStyle name="4_Book1_CAU XOP XANG II(su­a)_thanh hoa lap du an 062008_QT bieu 45 va 53 2011" xfId="1681"/>
    <cellStyle name="4_Book1_CAU XOP XANG II(su­a)_thanh hoa lap du an 062008_Sheet2" xfId="1682"/>
    <cellStyle name="4_Book1_Dieu phoi dat goi 1" xfId="1683"/>
    <cellStyle name="4_Book1_Dieu phoi dat goi 2" xfId="1684"/>
    <cellStyle name="4_Book1_DT Kha thi ngay 11-2-06" xfId="1685"/>
    <cellStyle name="4_Book1_DT Kha thi ngay 11-2-06_thanh hoa lap du an 062008" xfId="1686"/>
    <cellStyle name="4_Book1_DT Kha thi ngay 11-2-06_thanh hoa lap du an 062008_QT bieu 45 va 53 2011" xfId="1687"/>
    <cellStyle name="4_Book1_DT Kha thi ngay 11-2-06_thanh hoa lap du an 062008_Sheet2" xfId="1688"/>
    <cellStyle name="4_Book1_DT ngay 04-01-2006" xfId="1689"/>
    <cellStyle name="4_Book1_DT ngay 11-4-2006" xfId="1690"/>
    <cellStyle name="4_Book1_DT ngay 15-11-05" xfId="1691"/>
    <cellStyle name="4_Book1_DT ngay 15-11-05_thanh hoa lap du an 062008" xfId="1692"/>
    <cellStyle name="4_Book1_DT ngay 15-11-05_thanh hoa lap du an 062008_QT bieu 45 va 53 2011" xfId="1693"/>
    <cellStyle name="4_Book1_DT ngay 15-11-05_thanh hoa lap du an 062008_Sheet2" xfId="1694"/>
    <cellStyle name="4_Book1_DT theo DM24" xfId="1695"/>
    <cellStyle name="4_Book1_Du toan KT-TCsua theo TT 03 - YC 471" xfId="1696"/>
    <cellStyle name="4_Book1_Du toan Phuong lam" xfId="1697"/>
    <cellStyle name="4_Book1_Du toan Phuong lam_thanh hoa lap du an 062008" xfId="1698"/>
    <cellStyle name="4_Book1_Du toan Phuong lam_thanh hoa lap du an 062008_QT bieu 45 va 53 2011" xfId="1699"/>
    <cellStyle name="4_Book1_Du toan Phuong lam_thanh hoa lap du an 062008_Sheet2" xfId="1700"/>
    <cellStyle name="4_Book1_Du toan QL 27 (23-12-2005)" xfId="1701"/>
    <cellStyle name="4_Book1_DuAnKT ngay 11-2-2006" xfId="1702"/>
    <cellStyle name="4_Book1_Goi 1" xfId="1703"/>
    <cellStyle name="4_Book1_Goi thau so 1 (14-12-2006)" xfId="1704"/>
    <cellStyle name="4_Book1_Goi thau so 1 (14-12-2006)_thanh hoa lap du an 062008" xfId="1705"/>
    <cellStyle name="4_Book1_Goi thau so 1 (14-12-2006)_thanh hoa lap du an 062008_QT bieu 45 va 53 2011" xfId="1706"/>
    <cellStyle name="4_Book1_Goi thau so 1 (14-12-2006)_thanh hoa lap du an 062008_Sheet2" xfId="1707"/>
    <cellStyle name="4_Book1_Goi thau so 2 (20-6-2006)" xfId="1708"/>
    <cellStyle name="4_Book1_Goi thau so 2 (20-6-2006)_thanh hoa lap du an 062008" xfId="1709"/>
    <cellStyle name="4_Book1_Goi thau so 2 (20-6-2006)_thanh hoa lap du an 062008_QT bieu 45 va 53 2011" xfId="1710"/>
    <cellStyle name="4_Book1_Goi thau so 2 (20-6-2006)_thanh hoa lap du an 062008_Sheet2" xfId="1711"/>
    <cellStyle name="4_Book1_Goi thau so 2 (30-01-2007)" xfId="1712"/>
    <cellStyle name="4_Book1_Goi thau so 2 (30-01-2007)_thanh hoa lap du an 062008" xfId="1713"/>
    <cellStyle name="4_Book1_Goi thau so 2 (30-01-2007)_thanh hoa lap du an 062008_QT bieu 45 va 53 2011" xfId="1714"/>
    <cellStyle name="4_Book1_Goi thau so 2 (30-01-2007)_thanh hoa lap du an 062008_Sheet2" xfId="1715"/>
    <cellStyle name="4_Book1_Goi02(25-05-2006)" xfId="1716"/>
    <cellStyle name="4_Book1_K C N - HUNG DONG L.NHUA" xfId="1717"/>
    <cellStyle name="4_Book1_K C N - HUNG DONG L.NHUA_thanh hoa lap du an 062008" xfId="1718"/>
    <cellStyle name="4_Book1_K C N - HUNG DONG L.NHUA_thanh hoa lap du an 062008_QT bieu 45 va 53 2011" xfId="1719"/>
    <cellStyle name="4_Book1_K C N - HUNG DONG L.NHUA_thanh hoa lap du an 062008_Sheet2" xfId="1720"/>
    <cellStyle name="4_Book1_Khoi Luong Hoang Truong - Hoang Phu" xfId="1721"/>
    <cellStyle name="4_Book1_Khoi Luong Hoang Truong - Hoang Phu_thanh hoa lap du an 062008" xfId="1722"/>
    <cellStyle name="4_Book1_Khoi Luong Hoang Truong - Hoang Phu_thanh hoa lap du an 062008_QT bieu 45 va 53 2011" xfId="1723"/>
    <cellStyle name="4_Book1_Khoi Luong Hoang Truong - Hoang Phu_thanh hoa lap du an 062008_Sheet2" xfId="1724"/>
    <cellStyle name="4_Book1_km48-53 (tham tra ngay 23-10-2006)" xfId="1725"/>
    <cellStyle name="4_Book1_Muong TL" xfId="1726"/>
    <cellStyle name="4_Book1_thanh hoa lap du an 062008" xfId="1727"/>
    <cellStyle name="4_Book1_thanh hoa lap du an 062008_QT bieu 45 va 53 2011" xfId="1728"/>
    <cellStyle name="4_Book1_thanh hoa lap du an 062008_Sheet2" xfId="1729"/>
    <cellStyle name="4_Book1_Tuyen so 1-Km0+00 - Km0+852.56" xfId="1730"/>
    <cellStyle name="4_Book1_TV sua ngay 02-08-06" xfId="1731"/>
    <cellStyle name="4_Book1_ÿÿÿÿÿ" xfId="1732"/>
    <cellStyle name="4_C" xfId="1733"/>
    <cellStyle name="4_Cau Bai Son 2 Km 0+270.26 (8-11-2006)" xfId="1734"/>
    <cellStyle name="4_Cau Hoi 115" xfId="1735"/>
    <cellStyle name="4_Cau Hoi 115_thanh hoa lap du an 062008" xfId="1736"/>
    <cellStyle name="4_Cau Hoi 115_thanh hoa lap du an 062008_QT bieu 45 va 53 2011" xfId="1737"/>
    <cellStyle name="4_Cau Hoi 115_thanh hoa lap du an 062008_Sheet2" xfId="1738"/>
    <cellStyle name="4_Cau Hua Trai (TT 04)" xfId="1739"/>
    <cellStyle name="4_Cau My Thinh sua theo don gia 59 (19-5-07)" xfId="1740"/>
    <cellStyle name="4_Cau Nam Tot(ngay 2-10-2006)" xfId="1741"/>
    <cellStyle name="4_Cau Nam Tot(ngay 2-10-2006)_thanh hoa lap du an 062008" xfId="1742"/>
    <cellStyle name="4_Cau Nam Tot(ngay 2-10-2006)_thanh hoa lap du an 062008_QT bieu 45 va 53 2011" xfId="1743"/>
    <cellStyle name="4_Cau Nam Tot(ngay 2-10-2006)_thanh hoa lap du an 062008_Sheet2" xfId="1744"/>
    <cellStyle name="4_Cau Song Dao Km 1+51.54 (20-12-2006)" xfId="1745"/>
    <cellStyle name="4_Cau Thanh Ha 1" xfId="1746"/>
    <cellStyle name="4_Cau thuy dien Ban La (Cu Anh)" xfId="1747"/>
    <cellStyle name="4_Cau thuy dien Ban La (Cu Anh)_thanh hoa lap du an 062008" xfId="1748"/>
    <cellStyle name="4_Cau thuy dien Ban La (Cu Anh)_thanh hoa lap du an 062008_QT bieu 45 va 53 2011" xfId="1749"/>
    <cellStyle name="4_Cau thuy dien Ban La (Cu Anh)_thanh hoa lap du an 062008_Sheet2" xfId="1750"/>
    <cellStyle name="4_CAU XOP XANG II(su­a)" xfId="1751"/>
    <cellStyle name="4_Chau Thon - Tan Xuan (goi 5)" xfId="1752"/>
    <cellStyle name="4_Chau Thon - Tan Xuan (KCS 8-12-06)" xfId="1753"/>
    <cellStyle name="4_Chi phi KS" xfId="1754"/>
    <cellStyle name="4_cong" xfId="1755"/>
    <cellStyle name="4_cu ly van chuyen" xfId="1756"/>
    <cellStyle name="4_Dakt-Cau tinh Hua Phan" xfId="1757"/>
    <cellStyle name="4_DIEN" xfId="1758"/>
    <cellStyle name="4_Dieu phoi dat goi 1" xfId="1759"/>
    <cellStyle name="4_Dieu phoi dat goi 1_thanh hoa lap du an 062008" xfId="1760"/>
    <cellStyle name="4_Dieu phoi dat goi 1_thanh hoa lap du an 062008_QT bieu 45 va 53 2011" xfId="1761"/>
    <cellStyle name="4_Dieu phoi dat goi 1_thanh hoa lap du an 062008_Sheet2" xfId="1762"/>
    <cellStyle name="4_Dieu phoi dat goi 2" xfId="1763"/>
    <cellStyle name="4_Dieu phoi dat goi 2_thanh hoa lap du an 062008" xfId="1764"/>
    <cellStyle name="4_Dieu phoi dat goi 2_thanh hoa lap du an 062008_QT bieu 45 va 53 2011" xfId="1765"/>
    <cellStyle name="4_Dieu phoi dat goi 2_thanh hoa lap du an 062008_Sheet2" xfId="1766"/>
    <cellStyle name="4_Dinh muc thiet ke" xfId="1767"/>
    <cellStyle name="4_DONGIA" xfId="1768"/>
    <cellStyle name="4_DT Chau Hong  trinh ngay 09-01-07" xfId="1769"/>
    <cellStyle name="4_DT Chau Hong  trinh ngay 09-01-07_thanh hoa lap du an 062008" xfId="1770"/>
    <cellStyle name="4_DT Chau Hong  trinh ngay 09-01-07_thanh hoa lap du an 062008_QT bieu 45 va 53 2011" xfId="1771"/>
    <cellStyle name="4_DT Chau Hong  trinh ngay 09-01-07_thanh hoa lap du an 062008_Sheet2" xfId="1772"/>
    <cellStyle name="4_DT Kha thi ngay 11-2-06" xfId="1773"/>
    <cellStyle name="4_DT KT ngay 10-9-2005" xfId="1774"/>
    <cellStyle name="4_DT ngay 04-01-2006" xfId="1775"/>
    <cellStyle name="4_DT ngay 04-01-2006_thanh hoa lap du an 062008" xfId="1776"/>
    <cellStyle name="4_DT ngay 04-01-2006_thanh hoa lap du an 062008_QT bieu 45 va 53 2011" xfId="1777"/>
    <cellStyle name="4_DT ngay 04-01-2006_thanh hoa lap du an 062008_Sheet2" xfId="1778"/>
    <cellStyle name="4_DT ngay 11-4-2006" xfId="1779"/>
    <cellStyle name="4_DT ngay 11-4-2006_thanh hoa lap du an 062008" xfId="1780"/>
    <cellStyle name="4_DT ngay 11-4-2006_thanh hoa lap du an 062008_QT bieu 45 va 53 2011" xfId="1781"/>
    <cellStyle name="4_DT ngay 11-4-2006_thanh hoa lap du an 062008_Sheet2" xfId="1782"/>
    <cellStyle name="4_DT ngay 15-11-05" xfId="1783"/>
    <cellStyle name="4_DT theo DM24" xfId="1784"/>
    <cellStyle name="4_DT theo DM24_thanh hoa lap du an 062008" xfId="1785"/>
    <cellStyle name="4_DT theo DM24_thanh hoa lap du an 062008_QT bieu 45 va 53 2011" xfId="1786"/>
    <cellStyle name="4_DT theo DM24_thanh hoa lap du an 062008_Sheet2" xfId="1787"/>
    <cellStyle name="4_DT-497" xfId="1788"/>
    <cellStyle name="4_DT-497_thanh hoa lap du an 062008" xfId="1789"/>
    <cellStyle name="4_DT-497_thanh hoa lap du an 062008_QT bieu 45 va 53 2011" xfId="1790"/>
    <cellStyle name="4_DT-497_thanh hoa lap du an 062008_Sheet2" xfId="1791"/>
    <cellStyle name="4_DT-Khao-s¸t-TD" xfId="1792"/>
    <cellStyle name="4_DT-Khao-s¸t-TD_thanh hoa lap du an 062008" xfId="1793"/>
    <cellStyle name="4_DT-Khao-s¸t-TD_thanh hoa lap du an 062008_QT bieu 45 va 53 2011" xfId="1794"/>
    <cellStyle name="4_DT-Khao-s¸t-TD_thanh hoa lap du an 062008_Sheet2" xfId="1795"/>
    <cellStyle name="4_DTXL goi 11(20-9-05)" xfId="1796"/>
    <cellStyle name="4_du toan" xfId="1797"/>
    <cellStyle name="4_du toan (03-11-05)" xfId="1798"/>
    <cellStyle name="4_Du toan (12-05-2005) Tham dinh" xfId="1799"/>
    <cellStyle name="4_Du toan (12-05-2005) Tham dinh_thanh hoa lap du an 062008" xfId="1800"/>
    <cellStyle name="4_Du toan (12-05-2005) Tham dinh_thanh hoa lap du an 062008_QT bieu 45 va 53 2011" xfId="1801"/>
    <cellStyle name="4_Du toan (12-05-2005) Tham dinh_thanh hoa lap du an 062008_Sheet2" xfId="1802"/>
    <cellStyle name="4_Du toan (23-05-2005) Tham dinh" xfId="1803"/>
    <cellStyle name="4_Du toan (23-05-2005) Tham dinh_thanh hoa lap du an 062008" xfId="1804"/>
    <cellStyle name="4_Du toan (23-05-2005) Tham dinh_thanh hoa lap du an 062008_QT bieu 45 va 53 2011" xfId="1805"/>
    <cellStyle name="4_Du toan (23-05-2005) Tham dinh_thanh hoa lap du an 062008_Sheet2" xfId="1806"/>
    <cellStyle name="4_Du toan (5 - 04 - 2004)" xfId="1807"/>
    <cellStyle name="4_Du toan (5 - 04 - 2004)_thanh hoa lap du an 062008" xfId="1808"/>
    <cellStyle name="4_Du toan (5 - 04 - 2004)_thanh hoa lap du an 062008_QT bieu 45 va 53 2011" xfId="1809"/>
    <cellStyle name="4_Du toan (5 - 04 - 2004)_thanh hoa lap du an 062008_Sheet2" xfId="1810"/>
    <cellStyle name="4_Du toan (6-3-2005)" xfId="1811"/>
    <cellStyle name="4_Du toan (Ban A)" xfId="1812"/>
    <cellStyle name="4_Du toan (Ban A)_thanh hoa lap du an 062008" xfId="1813"/>
    <cellStyle name="4_Du toan (Ban A)_thanh hoa lap du an 062008_QT bieu 45 va 53 2011" xfId="1814"/>
    <cellStyle name="4_Du toan (Ban A)_thanh hoa lap du an 062008_Sheet2" xfId="1815"/>
    <cellStyle name="4_Du toan (ngay 13 - 07 - 2004)" xfId="1816"/>
    <cellStyle name="4_Du toan (ngay 13 - 07 - 2004)_thanh hoa lap du an 062008" xfId="1817"/>
    <cellStyle name="4_Du toan (ngay 13 - 07 - 2004)_thanh hoa lap du an 062008_QT bieu 45 va 53 2011" xfId="1818"/>
    <cellStyle name="4_Du toan (ngay 13 - 07 - 2004)_thanh hoa lap du an 062008_Sheet2" xfId="1819"/>
    <cellStyle name="4_Du toan (ngay 25-9-06)" xfId="1820"/>
    <cellStyle name="4_Du toan (ngay03-02-07) theo DG moi" xfId="1821"/>
    <cellStyle name="4_Du toan 558 (Km17+508.12 - Km 22)" xfId="1822"/>
    <cellStyle name="4_Du toan 558 (Km17+508.12 - Km 22)_thanh hoa lap du an 062008" xfId="1823"/>
    <cellStyle name="4_Du toan 558 (Km17+508.12 - Km 22)_thanh hoa lap du an 062008_QT bieu 45 va 53 2011" xfId="1824"/>
    <cellStyle name="4_Du toan 558 (Km17+508.12 - Km 22)_thanh hoa lap du an 062008_Sheet2" xfId="1825"/>
    <cellStyle name="4_Du toan bo sung (11-2004)" xfId="1826"/>
    <cellStyle name="4_Du toan Cang Vung Ang (Tham tra 3-11-06)" xfId="1827"/>
    <cellStyle name="4_Du toan Cang Vung Ang (Tham tra 3-11-06)_thanh hoa lap du an 062008" xfId="1828"/>
    <cellStyle name="4_Du toan Cang Vung Ang (Tham tra 3-11-06)_thanh hoa lap du an 062008_QT bieu 45 va 53 2011" xfId="1829"/>
    <cellStyle name="4_Du toan Cang Vung Ang (Tham tra 3-11-06)_thanh hoa lap du an 062008_Sheet2" xfId="1830"/>
    <cellStyle name="4_Du toan Cang Vung Ang ngay 09-8-06 " xfId="1831"/>
    <cellStyle name="4_Du toan Cang Vung Ang ngay 09-8-06 _thanh hoa lap du an 062008" xfId="1832"/>
    <cellStyle name="4_Du toan Cang Vung Ang ngay 09-8-06 _thanh hoa lap du an 062008_QT bieu 45 va 53 2011" xfId="1833"/>
    <cellStyle name="4_Du toan Cang Vung Ang ngay 09-8-06 _thanh hoa lap du an 062008_Sheet2" xfId="1834"/>
    <cellStyle name="4_Du toan dieu chin theo don gia moi (1-2-2007)" xfId="1835"/>
    <cellStyle name="4_Du toan Doan Km 53 - 60 sua theo tham tra(15-5-2007)" xfId="1836"/>
    <cellStyle name="4_Du toan Doan Km 53 - 60 sua theo tham tra(15-5-2007)_thanh hoa lap du an 062008" xfId="1837"/>
    <cellStyle name="4_Du toan Doan Km 53 - 60 sua theo tham tra(15-5-2007)_thanh hoa lap du an 062008_QT bieu 45 va 53 2011" xfId="1838"/>
    <cellStyle name="4_Du toan Doan Km 53 - 60 sua theo tham tra(15-5-2007)_thanh hoa lap du an 062008_Sheet2" xfId="1839"/>
    <cellStyle name="4_Du toan Doan Km 53 - 60 sua theo TV4 tham tra(9-6-2007)" xfId="1840"/>
    <cellStyle name="4_Du toan Goi 1" xfId="1841"/>
    <cellStyle name="4_Du toan Goi 1_thanh hoa lap du an 062008" xfId="1842"/>
    <cellStyle name="4_Du toan Goi 1_thanh hoa lap du an 062008_QT bieu 45 va 53 2011" xfId="1843"/>
    <cellStyle name="4_Du toan Goi 1_thanh hoa lap du an 062008_Sheet2" xfId="1844"/>
    <cellStyle name="4_du toan goi 12" xfId="1845"/>
    <cellStyle name="4_Du toan Goi 2" xfId="1846"/>
    <cellStyle name="4_Du toan Goi 2_thanh hoa lap du an 062008" xfId="1847"/>
    <cellStyle name="4_Du toan Goi 2_thanh hoa lap du an 062008_QT bieu 45 va 53 2011" xfId="1848"/>
    <cellStyle name="4_Du toan Goi 2_thanh hoa lap du an 062008_Sheet2" xfId="1849"/>
    <cellStyle name="4_Du toan Huong Lam - Ban Giang (ngay28-11-06)" xfId="1850"/>
    <cellStyle name="4_Du toan Huong Lam - Ban Giang (ngay28-11-06)_thanh hoa lap du an 062008" xfId="1851"/>
    <cellStyle name="4_Du toan Huong Lam - Ban Giang (ngay28-11-06)_thanh hoa lap du an 062008_QT bieu 45 va 53 2011" xfId="1852"/>
    <cellStyle name="4_Du toan Huong Lam - Ban Giang (ngay28-11-06)_thanh hoa lap du an 062008_Sheet2" xfId="1853"/>
    <cellStyle name="4_Du toan Huong Lam - Ban Giang theo DG 59 (ngay3-2-07)" xfId="1854"/>
    <cellStyle name="4_Du toan Huong Lam - Ban Giang theo DG 59 (ngay3-2-07)_thanh hoa lap du an 062008" xfId="1855"/>
    <cellStyle name="4_Du toan Huong Lam - Ban Giang theo DG 59 (ngay3-2-07)_thanh hoa lap du an 062008_QT bieu 45 va 53 2011" xfId="1856"/>
    <cellStyle name="4_Du toan Huong Lam - Ban Giang theo DG 59 (ngay3-2-07)_thanh hoa lap du an 062008_Sheet2" xfId="1857"/>
    <cellStyle name="4_Du toan khao sat don 553 (da sua 16.5.08)" xfId="1858"/>
    <cellStyle name="4_Du toan KT-TCsua theo TT 03 - YC 471" xfId="1859"/>
    <cellStyle name="4_Du toan KT-TCsua theo TT 03 - YC 471_thanh hoa lap du an 062008" xfId="1860"/>
    <cellStyle name="4_Du toan KT-TCsua theo TT 03 - YC 471_thanh hoa lap du an 062008_QT bieu 45 va 53 2011" xfId="1861"/>
    <cellStyle name="4_Du toan KT-TCsua theo TT 03 - YC 471_thanh hoa lap du an 062008_Sheet2" xfId="1862"/>
    <cellStyle name="4_Du toan ngay (28-10-2005)" xfId="1863"/>
    <cellStyle name="4_Du toan ngay (28-10-2005)_thanh hoa lap du an 062008" xfId="1864"/>
    <cellStyle name="4_Du toan ngay (28-10-2005)_thanh hoa lap du an 062008_QT bieu 45 va 53 2011" xfId="1865"/>
    <cellStyle name="4_Du toan ngay (28-10-2005)_thanh hoa lap du an 062008_Sheet2" xfId="1866"/>
    <cellStyle name="4_Du toan ngay 16-4-2007" xfId="1867"/>
    <cellStyle name="4_Du toan ngay 1-9-2004 (version 1)" xfId="1868"/>
    <cellStyle name="4_Du toan ngay 1-9-2004 (version 1)_thanh hoa lap du an 062008" xfId="1869"/>
    <cellStyle name="4_Du toan ngay 1-9-2004 (version 1)_thanh hoa lap du an 062008_QT bieu 45 va 53 2011" xfId="1870"/>
    <cellStyle name="4_Du toan ngay 1-9-2004 (version 1)_thanh hoa lap du an 062008_Sheet2" xfId="1871"/>
    <cellStyle name="4_Du toan Phuong lam" xfId="1872"/>
    <cellStyle name="4_Du toan QL 27 (23-12-2005)" xfId="1873"/>
    <cellStyle name="4_Du toan QL 27 (23-12-2005)_thanh hoa lap du an 062008" xfId="1874"/>
    <cellStyle name="4_Du toan QL 27 (23-12-2005)_thanh hoa lap du an 062008_QT bieu 45 va 53 2011" xfId="1875"/>
    <cellStyle name="4_Du toan QL 27 (23-12-2005)_thanh hoa lap du an 062008_Sheet2" xfId="1876"/>
    <cellStyle name="4_Du toan Tay Thanh Hoa duyetcuoi" xfId="1877"/>
    <cellStyle name="4_Du toan Tay Thanh Hoa duyetcuoi_thanh hoa lap du an 062008" xfId="1878"/>
    <cellStyle name="4_Du toan Tay Thanh Hoa duyetcuoi_thanh hoa lap du an 062008_QT bieu 45 va 53 2011" xfId="1879"/>
    <cellStyle name="4_Du toan Tay Thanh Hoa duyetcuoi_thanh hoa lap du an 062008_Sheet2" xfId="1880"/>
    <cellStyle name="4_Du_toan_Ho_Xa___Vinh_Tan_WB3 sua ngay 18-8-06" xfId="1881"/>
    <cellStyle name="4_Du_toan_Ho_Xa___Vinh_Tan_WB3 sua ngay 18-8-06_thanh hoa lap du an 062008" xfId="1882"/>
    <cellStyle name="4_Du_toan_Ho_Xa___Vinh_Tan_WB3 sua ngay 18-8-06_thanh hoa lap du an 062008_QT bieu 45 va 53 2011" xfId="1883"/>
    <cellStyle name="4_Du_toan_Ho_Xa___Vinh_Tan_WB3 sua ngay 18-8-06_thanh hoa lap du an 062008_Sheet2" xfId="1884"/>
    <cellStyle name="4_DuAnKT ngay 11-2-2006" xfId="1885"/>
    <cellStyle name="4_DuAnKT ngay 11-2-2006_thanh hoa lap du an 062008" xfId="1886"/>
    <cellStyle name="4_DuAnKT ngay 11-2-2006_thanh hoa lap du an 062008_QT bieu 45 va 53 2011" xfId="1887"/>
    <cellStyle name="4_DuAnKT ngay 11-2-2006_thanh hoa lap du an 062008_Sheet2" xfId="1888"/>
    <cellStyle name="4_Gia_VL cau-JIBIC-Ha-tinh" xfId="1889"/>
    <cellStyle name="4_Gia_VL cau-JIBIC-Ha-tinh_thanh hoa lap du an 062008" xfId="1890"/>
    <cellStyle name="4_Gia_VL cau-JIBIC-Ha-tinh_thanh hoa lap du an 062008_QT bieu 45 va 53 2011" xfId="1891"/>
    <cellStyle name="4_Gia_VL cau-JIBIC-Ha-tinh_thanh hoa lap du an 062008_Sheet2" xfId="1892"/>
    <cellStyle name="4_Gia_VLQL48_duyet " xfId="1893"/>
    <cellStyle name="4_Gia_VLQL48_duyet _thanh hoa lap du an 062008" xfId="1894"/>
    <cellStyle name="4_Gia_VLQL48_duyet _thanh hoa lap du an 062008_QT bieu 45 va 53 2011" xfId="1895"/>
    <cellStyle name="4_Gia_VLQL48_duyet _thanh hoa lap du an 062008_Sheet2" xfId="1896"/>
    <cellStyle name="4_goi 1" xfId="1897"/>
    <cellStyle name="4_Goi 1 (TT04)" xfId="1898"/>
    <cellStyle name="4_goi 1 duyet theo luong mo (an)" xfId="1899"/>
    <cellStyle name="4_Goi 1_1" xfId="1900"/>
    <cellStyle name="4_Goi 1_1_thanh hoa lap du an 062008" xfId="1901"/>
    <cellStyle name="4_Goi 1_1_thanh hoa lap du an 062008_QT bieu 45 va 53 2011" xfId="1902"/>
    <cellStyle name="4_Goi 1_1_thanh hoa lap du an 062008_Sheet2" xfId="1903"/>
    <cellStyle name="4_Goi so 1" xfId="1904"/>
    <cellStyle name="4_Goi thau so 08 (11-05-2007)" xfId="1905"/>
    <cellStyle name="4_Goi thau so 1 (14-12-2006)" xfId="1906"/>
    <cellStyle name="4_Goi thau so 2 (20-6-2006)" xfId="1907"/>
    <cellStyle name="4_Goi02(25-05-2006)" xfId="1908"/>
    <cellStyle name="4_Goi02(25-05-2006)_thanh hoa lap du an 062008" xfId="1909"/>
    <cellStyle name="4_Goi02(25-05-2006)_thanh hoa lap du an 062008_QT bieu 45 va 53 2011" xfId="1910"/>
    <cellStyle name="4_Goi02(25-05-2006)_thanh hoa lap du an 062008_Sheet2" xfId="1911"/>
    <cellStyle name="4_Goi1N206" xfId="1912"/>
    <cellStyle name="4_Goi1N206_thanh hoa lap du an 062008" xfId="1913"/>
    <cellStyle name="4_Goi1N206_thanh hoa lap du an 062008_QT bieu 45 va 53 2011" xfId="1914"/>
    <cellStyle name="4_Goi1N206_thanh hoa lap du an 062008_Sheet2" xfId="1915"/>
    <cellStyle name="4_Goi2N206" xfId="1916"/>
    <cellStyle name="4_Goi2N206_thanh hoa lap du an 062008" xfId="1917"/>
    <cellStyle name="4_Goi2N206_thanh hoa lap du an 062008_QT bieu 45 va 53 2011" xfId="1918"/>
    <cellStyle name="4_Goi2N206_thanh hoa lap du an 062008_Sheet2" xfId="1919"/>
    <cellStyle name="4_Goi4N216" xfId="1920"/>
    <cellStyle name="4_Goi4N216_thanh hoa lap du an 062008" xfId="1921"/>
    <cellStyle name="4_Goi4N216_thanh hoa lap du an 062008_QT bieu 45 va 53 2011" xfId="1922"/>
    <cellStyle name="4_Goi4N216_thanh hoa lap du an 062008_Sheet2" xfId="1923"/>
    <cellStyle name="4_Goi5N216" xfId="1924"/>
    <cellStyle name="4_Goi5N216_thanh hoa lap du an 062008" xfId="1925"/>
    <cellStyle name="4_Goi5N216_thanh hoa lap du an 062008_QT bieu 45 va 53 2011" xfId="1926"/>
    <cellStyle name="4_Goi5N216_thanh hoa lap du an 062008_Sheet2" xfId="1927"/>
    <cellStyle name="4_Hoi Song" xfId="1928"/>
    <cellStyle name="4_HT-LO" xfId="1929"/>
    <cellStyle name="4_HT-LO_thanh hoa lap du an 062008" xfId="1930"/>
    <cellStyle name="4_HT-LO_thanh hoa lap du an 062008_QT bieu 45 va 53 2011" xfId="1931"/>
    <cellStyle name="4_HT-LO_thanh hoa lap du an 062008_Sheet2" xfId="1932"/>
    <cellStyle name="4_Huong Lam - Ban Giang (11-4-2007)" xfId="1933"/>
    <cellStyle name="4_Huong Lam - Ban Giang (11-4-2007)_thanh hoa lap du an 062008" xfId="1934"/>
    <cellStyle name="4_Huong Lam - Ban Giang (11-4-2007)_thanh hoa lap du an 062008_QT bieu 45 va 53 2011" xfId="1935"/>
    <cellStyle name="4_Huong Lam - Ban Giang (11-4-2007)_thanh hoa lap du an 062008_Sheet2" xfId="1936"/>
    <cellStyle name="4_Khoi luong" xfId="1937"/>
    <cellStyle name="4_Khoi luong doan 1" xfId="1938"/>
    <cellStyle name="4_Khoi luong doan 1_thanh hoa lap du an 062008" xfId="1939"/>
    <cellStyle name="4_Khoi luong doan 1_thanh hoa lap du an 062008_QT bieu 45 va 53 2011" xfId="1940"/>
    <cellStyle name="4_Khoi luong doan 1_thanh hoa lap du an 062008_Sheet2" xfId="1941"/>
    <cellStyle name="4_Khoi luong doan 2" xfId="1942"/>
    <cellStyle name="4_Khoi luong doan 2_thanh hoa lap du an 062008" xfId="1943"/>
    <cellStyle name="4_Khoi luong doan 2_thanh hoa lap du an 062008_QT bieu 45 va 53 2011" xfId="1944"/>
    <cellStyle name="4_Khoi luong doan 2_thanh hoa lap du an 062008_Sheet2" xfId="1945"/>
    <cellStyle name="4_Khoi Luong Hoang Truong - Hoang Phu" xfId="1946"/>
    <cellStyle name="4_Khoi Luong Hoang Truong - Hoang Phu_thanh hoa lap du an 062008" xfId="1947"/>
    <cellStyle name="4_Khoi Luong Hoang Truong - Hoang Phu_thanh hoa lap du an 062008_QT bieu 45 va 53 2011" xfId="1948"/>
    <cellStyle name="4_Khoi Luong Hoang Truong - Hoang Phu_thanh hoa lap du an 062008_Sheet2" xfId="1949"/>
    <cellStyle name="4_Khoi luong_thanh hoa lap du an 062008" xfId="1950"/>
    <cellStyle name="4_Khoi luong_thanh hoa lap du an 062008_QT bieu 45 va 53 2011" xfId="1951"/>
    <cellStyle name="4_Khoi luong_thanh hoa lap du an 062008_Sheet2" xfId="1952"/>
    <cellStyle name="4_KL" xfId="1953"/>
    <cellStyle name="4_KL_thanh hoa lap du an 062008" xfId="1954"/>
    <cellStyle name="4_KL_thanh hoa lap du an 062008_QT bieu 45 va 53 2011" xfId="1955"/>
    <cellStyle name="4_KL_thanh hoa lap du an 062008_Sheet2" xfId="1956"/>
    <cellStyle name="4_Kl6-6-05" xfId="1957"/>
    <cellStyle name="4_KLCongTh" xfId="1958"/>
    <cellStyle name="4_Kldoan3" xfId="1959"/>
    <cellStyle name="4_Kldoan3_thanh hoa lap du an 062008" xfId="1960"/>
    <cellStyle name="4_Kldoan3_thanh hoa lap du an 062008_QT bieu 45 va 53 2011" xfId="1961"/>
    <cellStyle name="4_Kldoan3_thanh hoa lap du an 062008_Sheet2" xfId="1962"/>
    <cellStyle name="4_KLhoxa" xfId="1963"/>
    <cellStyle name="4_Klnutgiao" xfId="1964"/>
    <cellStyle name="4_KLPA2s" xfId="1965"/>
    <cellStyle name="4_KlQdinhduyet" xfId="1966"/>
    <cellStyle name="4_KlQdinhduyet_thanh hoa lap du an 062008" xfId="1967"/>
    <cellStyle name="4_KlQdinhduyet_thanh hoa lap du an 062008_QT bieu 45 va 53 2011" xfId="1968"/>
    <cellStyle name="4_KlQdinhduyet_thanh hoa lap du an 062008_Sheet2" xfId="1969"/>
    <cellStyle name="4_KlQL4goi5KCS" xfId="1970"/>
    <cellStyle name="4_Kltayth" xfId="1971"/>
    <cellStyle name="4_KltaythQDduyet" xfId="1972"/>
    <cellStyle name="4_Kluong4-2004" xfId="1973"/>
    <cellStyle name="4_Kluong4-2004_thanh hoa lap du an 062008" xfId="1974"/>
    <cellStyle name="4_Kluong4-2004_thanh hoa lap du an 062008_QT bieu 45 va 53 2011" xfId="1975"/>
    <cellStyle name="4_Kluong4-2004_thanh hoa lap du an 062008_Sheet2" xfId="1976"/>
    <cellStyle name="4_Km 48 - 53 (sua nap TVTT 6-7-2007)" xfId="1977"/>
    <cellStyle name="4_Km 48 - 53 (sua nap TVTT 6-7-2007)_thanh hoa lap du an 062008" xfId="1978"/>
    <cellStyle name="4_Km 48 - 53 (sua nap TVTT 6-7-2007)_thanh hoa lap du an 062008_QT bieu 45 va 53 2011" xfId="1979"/>
    <cellStyle name="4_Km 48 - 53 (sua nap TVTT 6-7-2007)_thanh hoa lap du an 062008_Sheet2" xfId="1980"/>
    <cellStyle name="4_km4-6" xfId="1981"/>
    <cellStyle name="4_km48-53 (tham tra ngay 23-10-2006)" xfId="1982"/>
    <cellStyle name="4_km48-53 (tham tra ngay 23-10-2006)_thanh hoa lap du an 062008" xfId="1983"/>
    <cellStyle name="4_km48-53 (tham tra ngay 23-10-2006)_thanh hoa lap du an 062008_QT bieu 45 va 53 2011" xfId="1984"/>
    <cellStyle name="4_km48-53 (tham tra ngay 23-10-2006)_thanh hoa lap du an 062008_Sheet2" xfId="1985"/>
    <cellStyle name="4_km48-53 (tham tra ngay 23-10-2006)theo gi¸ ca m¸y míi" xfId="1986"/>
    <cellStyle name="4_km48-53 (tham tra ngay 23-10-2006)theo gi¸ ca m¸y míi_thanh hoa lap du an 062008" xfId="1987"/>
    <cellStyle name="4_km48-53 (tham tra ngay 23-10-2006)theo gi¸ ca m¸y míi_thanh hoa lap du an 062008_QT bieu 45 va 53 2011" xfId="1988"/>
    <cellStyle name="4_km48-53 (tham tra ngay 23-10-2006)theo gi¸ ca m¸y míi_thanh hoa lap du an 062008_Sheet2" xfId="1989"/>
    <cellStyle name="4_Luong A6" xfId="1990"/>
    <cellStyle name="4_maugiacotaluy" xfId="1991"/>
    <cellStyle name="4_My Thanh Son Thanh" xfId="1992"/>
    <cellStyle name="4_Nhom I" xfId="1993"/>
    <cellStyle name="4_Nhom I_thanh hoa lap du an 062008" xfId="1994"/>
    <cellStyle name="4_Nhom I_thanh hoa lap du an 062008_QT bieu 45 va 53 2011" xfId="1995"/>
    <cellStyle name="4_Nhom I_thanh hoa lap du an 062008_Sheet2" xfId="1996"/>
    <cellStyle name="4_Phu luc KS" xfId="1997"/>
    <cellStyle name="4_Project N.Du" xfId="1998"/>
    <cellStyle name="4_Project N.Du.dien" xfId="1999"/>
    <cellStyle name="4_Project N.Du_thanh hoa lap du an 062008" xfId="2000"/>
    <cellStyle name="4_Project N.Du_thanh hoa lap du an 062008_QT bieu 45 va 53 2011" xfId="2001"/>
    <cellStyle name="4_Project N.Du_thanh hoa lap du an 062008_Sheet2" xfId="2002"/>
    <cellStyle name="4_Project QL4" xfId="2003"/>
    <cellStyle name="4_Project QL4 goi 7" xfId="2004"/>
    <cellStyle name="4_Project QL4 goi 7_thanh hoa lap du an 062008" xfId="2005"/>
    <cellStyle name="4_Project QL4 goi 7_thanh hoa lap du an 062008_QT bieu 45 va 53 2011" xfId="2006"/>
    <cellStyle name="4_Project QL4 goi 7_thanh hoa lap du an 062008_Sheet2" xfId="2007"/>
    <cellStyle name="4_Project QL4 goi5" xfId="2008"/>
    <cellStyle name="4_Project QL4 goi8" xfId="2009"/>
    <cellStyle name="4_QL1A-SUA2005" xfId="2010"/>
    <cellStyle name="4_QL1A-SUA2005_thanh hoa lap du an 062008" xfId="2011"/>
    <cellStyle name="4_QL1A-SUA2005_thanh hoa lap du an 062008_QT bieu 45 va 53 2011" xfId="2012"/>
    <cellStyle name="4_QL1A-SUA2005_thanh hoa lap du an 062008_Sheet2" xfId="2013"/>
    <cellStyle name="4_Sheet1" xfId="2014"/>
    <cellStyle name="4_SuoiTon" xfId="2015"/>
    <cellStyle name="4_SuoiTon_thanh hoa lap du an 062008" xfId="2016"/>
    <cellStyle name="4_SuoiTon_thanh hoa lap du an 062008_QT bieu 45 va 53 2011" xfId="2017"/>
    <cellStyle name="4_SuoiTon_thanh hoa lap du an 062008_Sheet2" xfId="2018"/>
    <cellStyle name="4_t" xfId="2019"/>
    <cellStyle name="4_TamkhoanKSDH" xfId="2020"/>
    <cellStyle name="4_Tay THoa" xfId="2021"/>
    <cellStyle name="4_Tay THoa_thanh hoa lap du an 062008" xfId="2022"/>
    <cellStyle name="4_Tay THoa_thanh hoa lap du an 062008_QT bieu 45 va 53 2011" xfId="2023"/>
    <cellStyle name="4_Tay THoa_thanh hoa lap du an 062008_Sheet2" xfId="2024"/>
    <cellStyle name="4_Tham tra (8-11)1" xfId="2025"/>
    <cellStyle name="4_Tham tra (8-11)1_thanh hoa lap du an 062008" xfId="2026"/>
    <cellStyle name="4_Tham tra (8-11)1_thanh hoa lap du an 062008_QT bieu 45 va 53 2011" xfId="2027"/>
    <cellStyle name="4_Tham tra (8-11)1_thanh hoa lap du an 062008_Sheet2" xfId="2028"/>
    <cellStyle name="4_THkl" xfId="2029"/>
    <cellStyle name="4_THkl_thanh hoa lap du an 062008" xfId="2030"/>
    <cellStyle name="4_THkl_thanh hoa lap du an 062008_QT bieu 45 va 53 2011" xfId="2031"/>
    <cellStyle name="4_THkl_thanh hoa lap du an 062008_Sheet2" xfId="2032"/>
    <cellStyle name="4_THklpa2" xfId="2033"/>
    <cellStyle name="4_THklpa2_thanh hoa lap du an 062008" xfId="2034"/>
    <cellStyle name="4_THklpa2_thanh hoa lap du an 062008_QT bieu 45 va 53 2011" xfId="2035"/>
    <cellStyle name="4_THklpa2_thanh hoa lap du an 062008_Sheet2" xfId="2036"/>
    <cellStyle name="4_Tong hop DT dieu chinh duong 38-95" xfId="2037"/>
    <cellStyle name="4_Tong hop khoi luong duong 557 (30-5-2006)" xfId="2038"/>
    <cellStyle name="4_Tong muc dau tu" xfId="2039"/>
    <cellStyle name="4_Tuyen so 1-Km0+00 - Km0+852.56" xfId="2040"/>
    <cellStyle name="4_Tuyen so 1-Km0+00 - Km0+852.56_thanh hoa lap du an 062008" xfId="2041"/>
    <cellStyle name="4_Tuyen so 1-Km0+00 - Km0+852.56_thanh hoa lap du an 062008_QT bieu 45 va 53 2011" xfId="2042"/>
    <cellStyle name="4_Tuyen so 1-Km0+00 - Km0+852.56_thanh hoa lap du an 062008_Sheet2" xfId="2043"/>
    <cellStyle name="4_TV sua ngay 02-08-06" xfId="2044"/>
    <cellStyle name="4_TV sua ngay 02-08-06_thanh hoa lap du an 062008" xfId="2045"/>
    <cellStyle name="4_TV sua ngay 02-08-06_thanh hoa lap du an 062008_QT bieu 45 va 53 2011" xfId="2046"/>
    <cellStyle name="4_TV sua ngay 02-08-06_thanh hoa lap du an 062008_Sheet2" xfId="2047"/>
    <cellStyle name="4_VatLieu 3 cau -NA" xfId="2048"/>
    <cellStyle name="4_VatLieu 3 cau -NA_thanh hoa lap du an 062008" xfId="2049"/>
    <cellStyle name="4_VatLieu 3 cau -NA_thanh hoa lap du an 062008_QT bieu 45 va 53 2011" xfId="2050"/>
    <cellStyle name="4_VatLieu 3 cau -NA_thanh hoa lap du an 062008_Sheet2" xfId="2051"/>
    <cellStyle name="4_ÿÿÿÿÿ" xfId="2052"/>
    <cellStyle name="4_ÿÿÿÿÿ_1" xfId="2053"/>
    <cellStyle name="4_ÿÿÿÿÿ_1_thanh hoa lap du an 062008" xfId="2054"/>
    <cellStyle name="4_ÿÿÿÿÿ_1_thanh hoa lap du an 062008_QT bieu 45 va 53 2011" xfId="2055"/>
    <cellStyle name="4_ÿÿÿÿÿ_1_thanh hoa lap du an 062008_Sheet2" xfId="2056"/>
    <cellStyle name="40% - Accent1" xfId="2057"/>
    <cellStyle name="40% - Accent2" xfId="2058"/>
    <cellStyle name="40% - Accent3" xfId="2059"/>
    <cellStyle name="40% - Accent4" xfId="2060"/>
    <cellStyle name="40% - Accent5" xfId="2061"/>
    <cellStyle name="40% - Accent6" xfId="2062"/>
    <cellStyle name="6" xfId="2063"/>
    <cellStyle name="6???_x0002_¯ög6hÅ‡6???_x0002_¹?ß_x0008_,Ñ‡6???_x0002_…#×&gt;Ò ‡6???_x0002_é_x0007_ß_x0008__x001C__x000B__x001E_?????&#10;?_x0001_???????_x0014_?_x0001_???????_x001E_?fB_x000F_c????_x0018_I¿_x0008_v_x0010_‡6Ö_x0002_Ÿ6????ía??_x0012_c??????????????_x0001_?????????_x0001_?_x0001_?_x0001_?" xfId="2064"/>
    <cellStyle name="6???_x0002_¯ög6hÅ‡6???_x0002_¹?ß_x0008_,Ñ‡6???_x0002_…#×&gt;Ò ‡6???_x0002_é_x0007_ß_x0008__x001C__x000B__x001E_?????&#10;?_x0001_???????_x0014_?_x0001_???????_x001E_?fB_x000F_c????_x0018_I¿_x0008_v_x0010_‡6Ö_x0002_Ÿ6????_x0015_l??Õm??????????????_x0001_?????????_x0001_?_x0001_?_x0001_?" xfId="2065"/>
    <cellStyle name="6???¯ög6hÅ‡6???¹?ß,Ñ‡6???…#×&gt;Ò ‡6???éß?????&#10;?????????????????fBc????I¿v‡6ÖŸ6????ía??c??????????????????????????" xfId="2066"/>
    <cellStyle name="6???¯ög6hÅ‡6???¹?ß,Ñ‡6???…#×&gt;Ò ‡6???éß?????&#10;?????????????????fBc????I¿v‡6ÖŸ6????l??Õm??????????????????????????" xfId="2067"/>
    <cellStyle name="6_6_BCXDCB_6thang_2010_BCH" xfId="2068"/>
    <cellStyle name="6_6_BCXDCB_6thang_2010_BCH_QT bieu 45 va 53 2011" xfId="2069"/>
    <cellStyle name="6_6_BCXDCB_6thang_2010_BCH_Sheet2" xfId="2070"/>
    <cellStyle name="6_6_Dieuchinh_6thang_2010_Totrinh_HDND" xfId="2071"/>
    <cellStyle name="6_6_Dieuchinh_6thang_2010_Totrinh_HDND_QT bieu 45 va 53 2011" xfId="2072"/>
    <cellStyle name="6_6_Dieuchinh_6thang_2010_Totrinh_HDND_Sheet2" xfId="2073"/>
    <cellStyle name="6_BCXDCB_6thang_2010_BTV" xfId="2074"/>
    <cellStyle name="6_BCXDCB_6thang_2010_BTV_QT bieu 45 va 53 2011" xfId="2075"/>
    <cellStyle name="6_BCXDCB_6thang_2010_BTV_Sheet2" xfId="2076"/>
    <cellStyle name="6_Nhucauvon_2010" xfId="2077"/>
    <cellStyle name="6_Nhucauvon_2010_6_BCXDCB_6thang_2010_BCH" xfId="2078"/>
    <cellStyle name="6_Nhucauvon_2010_6_BCXDCB_6thang_2010_BCH_QT bieu 45 va 53 2011" xfId="2079"/>
    <cellStyle name="6_Nhucauvon_2010_6_BCXDCB_6thang_2010_BCH_Sheet2" xfId="2080"/>
    <cellStyle name="6_Nhucauvon_2010_QT bieu 45 va 53 2011" xfId="2081"/>
    <cellStyle name="6_Nhucauvon_2010_Sheet2" xfId="2082"/>
    <cellStyle name="6_QT bieu 45 va 53 2011" xfId="2083"/>
    <cellStyle name="6_Sheet2" xfId="2084"/>
    <cellStyle name="6_thanh hoa lap du an 062008" xfId="2085"/>
    <cellStyle name="6_thanh hoa lap du an 062008_QT bieu 45 va 53 2011" xfId="2086"/>
    <cellStyle name="6_thanh hoa lap du an 062008_Sheet2" xfId="2087"/>
    <cellStyle name="6_TMDTluong_540000(1)" xfId="2088"/>
    <cellStyle name="6_TMDTluong_540000(1)_QT bieu 45 va 53 2011" xfId="2089"/>
    <cellStyle name="6_TMDTluong_540000(1)_Sheet2" xfId="2090"/>
    <cellStyle name="60% - Accent1" xfId="2091"/>
    <cellStyle name="60% - Accent2" xfId="2092"/>
    <cellStyle name="60% - Accent3" xfId="2093"/>
    <cellStyle name="60% - Accent4" xfId="2094"/>
    <cellStyle name="60% - Accent5" xfId="2095"/>
    <cellStyle name="60% - Accent6" xfId="2096"/>
    <cellStyle name="9" xfId="2097"/>
    <cellStyle name="9?b_x000F_Normal_5HUYIC~1?_x0011_Normal_903DK-2001?_x000C_Normal_AD_x000B_No" xfId="2098"/>
    <cellStyle name="_x0001_Å»_x001E_´ " xfId="2099"/>
    <cellStyle name="_x0001_Å»_x001E_´ ?[?0?.?0?0?]?_?P?R?O?" xfId="2100"/>
    <cellStyle name="_x0001_Å»_x001E_´_" xfId="2101"/>
    <cellStyle name="Accent1" xfId="2102"/>
    <cellStyle name="Accent1 - 20%" xfId="2103"/>
    <cellStyle name="Accent1 - 20% 2" xfId="2104"/>
    <cellStyle name="Accent1 - 20% 3" xfId="2105"/>
    <cellStyle name="Accent1 - 40%" xfId="2106"/>
    <cellStyle name="Accent1 - 40% 2" xfId="2107"/>
    <cellStyle name="Accent1 - 40% 3" xfId="2108"/>
    <cellStyle name="Accent1 - 60%" xfId="2109"/>
    <cellStyle name="Accent2" xfId="2110"/>
    <cellStyle name="Accent2 - 20%" xfId="2111"/>
    <cellStyle name="Accent2 - 20% 2" xfId="2112"/>
    <cellStyle name="Accent2 - 20% 3" xfId="2113"/>
    <cellStyle name="Accent2 - 40%" xfId="2114"/>
    <cellStyle name="Accent2 - 40% 2" xfId="2115"/>
    <cellStyle name="Accent2 - 40% 3" xfId="2116"/>
    <cellStyle name="Accent2 - 60%" xfId="2117"/>
    <cellStyle name="Accent3" xfId="2118"/>
    <cellStyle name="Accent3 - 20%" xfId="2119"/>
    <cellStyle name="Accent3 - 20% 2" xfId="2120"/>
    <cellStyle name="Accent3 - 20% 3" xfId="2121"/>
    <cellStyle name="Accent3 - 40%" xfId="2122"/>
    <cellStyle name="Accent3 - 40% 2" xfId="2123"/>
    <cellStyle name="Accent3 - 40% 3" xfId="2124"/>
    <cellStyle name="Accent3 - 60%" xfId="2125"/>
    <cellStyle name="Accent4" xfId="2126"/>
    <cellStyle name="Accent4 - 20%" xfId="2127"/>
    <cellStyle name="Accent4 - 20% 2" xfId="2128"/>
    <cellStyle name="Accent4 - 20% 3" xfId="2129"/>
    <cellStyle name="Accent4 - 40%" xfId="2130"/>
    <cellStyle name="Accent4 - 40% 2" xfId="2131"/>
    <cellStyle name="Accent4 - 40% 3" xfId="2132"/>
    <cellStyle name="Accent4 - 60%" xfId="2133"/>
    <cellStyle name="Accent5" xfId="2134"/>
    <cellStyle name="Accent5 - 20%" xfId="2135"/>
    <cellStyle name="Accent5 - 20% 2" xfId="2136"/>
    <cellStyle name="Accent5 - 20% 3" xfId="2137"/>
    <cellStyle name="Accent5 - 40%" xfId="2138"/>
    <cellStyle name="Accent5 - 40% 2" xfId="2139"/>
    <cellStyle name="Accent5 - 40% 3" xfId="2140"/>
    <cellStyle name="Accent5 - 60%" xfId="2141"/>
    <cellStyle name="Accent6" xfId="2142"/>
    <cellStyle name="Accent6 - 20%" xfId="2143"/>
    <cellStyle name="Accent6 - 20% 2" xfId="2144"/>
    <cellStyle name="Accent6 - 20% 3" xfId="2145"/>
    <cellStyle name="Accent6 - 40%" xfId="2146"/>
    <cellStyle name="Accent6 - 40% 2" xfId="2147"/>
    <cellStyle name="Accent6 - 40% 3" xfId="2148"/>
    <cellStyle name="Accent6 - 60%" xfId="2149"/>
    <cellStyle name="ÅëÈ­ [0]_      " xfId="2150"/>
    <cellStyle name="AeE­ [0]_INQUIRY ¿?¾÷AßAø " xfId="2151"/>
    <cellStyle name="ÅëÈ­ [0]_L601CPT" xfId="2152"/>
    <cellStyle name="ÅëÈ­_      " xfId="2153"/>
    <cellStyle name="AeE­_INQUIRY ¿?¾÷AßAø " xfId="2154"/>
    <cellStyle name="ÅëÈ­_L601CPT" xfId="2155"/>
    <cellStyle name="args.style" xfId="2156"/>
    <cellStyle name="ÄÞ¸¶ [0]_      " xfId="2157"/>
    <cellStyle name="AÞ¸¶ [0]_INQUIRY ¿?¾÷AßAø " xfId="2158"/>
    <cellStyle name="ÄÞ¸¶ [0]_L601CPT" xfId="2159"/>
    <cellStyle name="ÄÞ¸¶_      " xfId="2160"/>
    <cellStyle name="AÞ¸¶_INQUIRY ¿?¾÷AßAø " xfId="2161"/>
    <cellStyle name="ÄÞ¸¶_L601CPT" xfId="2162"/>
    <cellStyle name="AutoFormat Options" xfId="2163"/>
    <cellStyle name="Bad" xfId="2164"/>
    <cellStyle name="Bangchu" xfId="2165"/>
    <cellStyle name="Bình Thường_Den chien Sang TX" xfId="2166"/>
    <cellStyle name="Body" xfId="2167"/>
    <cellStyle name="C?AØ_¿?¾÷CoE² " xfId="2168"/>
    <cellStyle name="C~1" xfId="2169"/>
    <cellStyle name="C~1?_x0011_Normal_903DK-2001?_x000C_Normal_AD_x000B_Normal_Adot?&#13;Normal_ADAdot?&#13;Normal_" xfId="2170"/>
    <cellStyle name="Ç¥ÁØ_      " xfId="2171"/>
    <cellStyle name="C￥AØ_¿μ¾÷CoE² " xfId="2172"/>
    <cellStyle name="Ç¥ÁØ_±¸¹Ì´ëÃ¥" xfId="2173"/>
    <cellStyle name="C￥AØ_≫c¾÷ºIº° AN°e " xfId="2174"/>
    <cellStyle name="Ç¥ÁØ_MARSHALL TEST" xfId="2175"/>
    <cellStyle name="C￥AØ_Sheet1_¿μ¾÷CoE² " xfId="2176"/>
    <cellStyle name="Calc Currency (0)" xfId="2177"/>
    <cellStyle name="Calc Currency (2)" xfId="2178"/>
    <cellStyle name="Calc Percent (0)" xfId="2179"/>
    <cellStyle name="Calc Percent (1)" xfId="2180"/>
    <cellStyle name="Calc Percent (2)" xfId="2181"/>
    <cellStyle name="Calc Units (0)" xfId="2182"/>
    <cellStyle name="Calc Units (1)" xfId="2183"/>
    <cellStyle name="Calc Units (2)" xfId="2184"/>
    <cellStyle name="Calculation" xfId="2185"/>
    <cellStyle name="category" xfId="2186"/>
    <cellStyle name="Cerrency_Sheet2_XANGDAU" xfId="2187"/>
    <cellStyle name="Check Cell" xfId="2188"/>
    <cellStyle name="Chi phÝ kh¸c_Book1" xfId="2189"/>
    <cellStyle name="Chuẩn 2" xfId="2190"/>
    <cellStyle name="Chuẩn 6" xfId="2191"/>
    <cellStyle name="CHUONG" xfId="2192"/>
    <cellStyle name="Comma" xfId="2193"/>
    <cellStyle name="Comma  - Style1" xfId="2194"/>
    <cellStyle name="Comma  - Style2" xfId="2195"/>
    <cellStyle name="Comma  - Style3" xfId="2196"/>
    <cellStyle name="Comma  - Style4" xfId="2197"/>
    <cellStyle name="Comma  - Style5" xfId="2198"/>
    <cellStyle name="Comma  - Style6" xfId="2199"/>
    <cellStyle name="Comma  - Style7" xfId="2200"/>
    <cellStyle name="Comma  - Style8" xfId="2201"/>
    <cellStyle name="Comma [0]" xfId="2202"/>
    <cellStyle name="Comma [0] 2" xfId="2203"/>
    <cellStyle name="Comma [0] 3" xfId="2204"/>
    <cellStyle name="Comma [0] 4" xfId="2205"/>
    <cellStyle name="Comma [0] 5" xfId="2206"/>
    <cellStyle name="Comma [0] 6" xfId="2207"/>
    <cellStyle name="Comma [0] 6 2" xfId="2208"/>
    <cellStyle name="Comma [0] 6 3" xfId="2209"/>
    <cellStyle name="Comma [00]" xfId="2210"/>
    <cellStyle name="Comma 10" xfId="2211"/>
    <cellStyle name="Comma 10 10" xfId="2212"/>
    <cellStyle name="Comma 10 10 2" xfId="2213"/>
    <cellStyle name="Comma 10 10 2 2" xfId="2214"/>
    <cellStyle name="Comma 10 10 2 3" xfId="2215"/>
    <cellStyle name="Comma 10 10 3" xfId="2216"/>
    <cellStyle name="Comma 10 10 4" xfId="2217"/>
    <cellStyle name="Comma 10 2" xfId="2218"/>
    <cellStyle name="Comma 10 3" xfId="2219"/>
    <cellStyle name="Comma 10 3 2" xfId="2220"/>
    <cellStyle name="Comma 10 3 2 2" xfId="2221"/>
    <cellStyle name="Comma 10 3 2 3" xfId="2222"/>
    <cellStyle name="Comma 10 31" xfId="2223"/>
    <cellStyle name="Comma 10 4 2" xfId="2224"/>
    <cellStyle name="Comma 10 4 2 2" xfId="2225"/>
    <cellStyle name="Comma 108" xfId="2226"/>
    <cellStyle name="Comma 11" xfId="2227"/>
    <cellStyle name="Comma 12" xfId="2228"/>
    <cellStyle name="Comma 13" xfId="2229"/>
    <cellStyle name="Comma 13 2" xfId="2230"/>
    <cellStyle name="Comma 14" xfId="2231"/>
    <cellStyle name="Comma 14 2" xfId="2232"/>
    <cellStyle name="Comma 14 3" xfId="2233"/>
    <cellStyle name="Comma 15" xfId="2234"/>
    <cellStyle name="Comma 16" xfId="2235"/>
    <cellStyle name="Comma 16 2" xfId="2236"/>
    <cellStyle name="Comma 16 3" xfId="2237"/>
    <cellStyle name="Comma 16 4" xfId="2238"/>
    <cellStyle name="Comma 17" xfId="2239"/>
    <cellStyle name="Comma 17 2" xfId="2240"/>
    <cellStyle name="Comma 18" xfId="2241"/>
    <cellStyle name="Comma 18 2" xfId="2242"/>
    <cellStyle name="Comma 18 2 2" xfId="2243"/>
    <cellStyle name="Comma 18 2 3" xfId="2244"/>
    <cellStyle name="Comma 18 2 4" xfId="2245"/>
    <cellStyle name="Comma 18 3" xfId="2246"/>
    <cellStyle name="Comma 18 4" xfId="2247"/>
    <cellStyle name="Comma 19" xfId="2248"/>
    <cellStyle name="Comma 2" xfId="2249"/>
    <cellStyle name="Comma 2 10" xfId="2250"/>
    <cellStyle name="Comma 2 10 2" xfId="2251"/>
    <cellStyle name="Comma 2 11" xfId="2252"/>
    <cellStyle name="Comma 2 12" xfId="2253"/>
    <cellStyle name="Comma 2 13" xfId="2254"/>
    <cellStyle name="Comma 2 14" xfId="2255"/>
    <cellStyle name="Comma 2 15" xfId="2256"/>
    <cellStyle name="Comma 2 16" xfId="2257"/>
    <cellStyle name="Comma 2 17" xfId="2258"/>
    <cellStyle name="Comma 2 18" xfId="2259"/>
    <cellStyle name="Comma 2 19" xfId="2260"/>
    <cellStyle name="Comma 2 2" xfId="2261"/>
    <cellStyle name="Comma 2 2 2 2 2 2" xfId="2262"/>
    <cellStyle name="Comma 2 2 2 2 2 2 2" xfId="2263"/>
    <cellStyle name="Comma 2 28" xfId="2264"/>
    <cellStyle name="Comma 2 3" xfId="2265"/>
    <cellStyle name="Comma 2 4" xfId="2266"/>
    <cellStyle name="Comma 2 5" xfId="2267"/>
    <cellStyle name="Comma 2 5 2" xfId="2268"/>
    <cellStyle name="Comma 2 5 3" xfId="2269"/>
    <cellStyle name="Comma 2 5 3 2" xfId="2270"/>
    <cellStyle name="Comma 2 6" xfId="2271"/>
    <cellStyle name="Comma 2 7" xfId="2272"/>
    <cellStyle name="Comma 2 8" xfId="2273"/>
    <cellStyle name="Comma 2 9" xfId="2274"/>
    <cellStyle name="Comma 2_QUYET TOAN 2017 Dau tu cong - Tiep" xfId="2275"/>
    <cellStyle name="Comma 22" xfId="2276"/>
    <cellStyle name="Comma 22 18" xfId="2277"/>
    <cellStyle name="Comma 28" xfId="2278"/>
    <cellStyle name="Comma 3" xfId="2279"/>
    <cellStyle name="Comma 3 2" xfId="2280"/>
    <cellStyle name="Comma 3 2 2" xfId="2281"/>
    <cellStyle name="Comma 3 3" xfId="2282"/>
    <cellStyle name="Comma 3 4" xfId="2283"/>
    <cellStyle name="Comma 3 4 2" xfId="2284"/>
    <cellStyle name="Comma 3 5" xfId="2285"/>
    <cellStyle name="Comma 3 6" xfId="2286"/>
    <cellStyle name="Comma 3 7" xfId="2287"/>
    <cellStyle name="Comma 3 8" xfId="2288"/>
    <cellStyle name="Comma 4" xfId="2289"/>
    <cellStyle name="Comma 4 20" xfId="2290"/>
    <cellStyle name="Comma 5" xfId="2291"/>
    <cellStyle name="Comma 6" xfId="2292"/>
    <cellStyle name="Comma 6 2" xfId="2293"/>
    <cellStyle name="Comma 7" xfId="2294"/>
    <cellStyle name="Comma 8" xfId="2295"/>
    <cellStyle name="Comma 9" xfId="2296"/>
    <cellStyle name="comma zerodec" xfId="2297"/>
    <cellStyle name="comma zerodec 2" xfId="2298"/>
    <cellStyle name="Comma0" xfId="2299"/>
    <cellStyle name="Copied" xfId="2300"/>
    <cellStyle name="Cࡵrrency_Sheet1_PRODUCTĠ" xfId="2301"/>
    <cellStyle name="_x0001_CS_x0006_RMO[" xfId="2302"/>
    <cellStyle name="_x0001_CS_x0006_RMO[?0?]?_?0?0?" xfId="2303"/>
    <cellStyle name="_x0001_CS_x0006_RMO_" xfId="2304"/>
    <cellStyle name="Curråncy [0]_FCST_RESULTS" xfId="2305"/>
    <cellStyle name="Currency" xfId="2306"/>
    <cellStyle name="Currency [0]" xfId="2307"/>
    <cellStyle name="Currency [0]ßmud plant bolted_RESULTS" xfId="2308"/>
    <cellStyle name="Currency [00]" xfId="2309"/>
    <cellStyle name="Currency![0]_FCSt (2)" xfId="2310"/>
    <cellStyle name="Currency0" xfId="2311"/>
    <cellStyle name="Currency1" xfId="2312"/>
    <cellStyle name="Currency1 2" xfId="2313"/>
    <cellStyle name="Currency1 3" xfId="2314"/>
    <cellStyle name="D1" xfId="2315"/>
    <cellStyle name="Date" xfId="2316"/>
    <cellStyle name="Date 2" xfId="2317"/>
    <cellStyle name="Date Short" xfId="2318"/>
    <cellStyle name="Date_Bieu QT so 53 (Quy sua 31-10)" xfId="2319"/>
    <cellStyle name="Dấu phẩy_DA Deo ban-ql37 7- 05 trinh cuc1" xfId="2320"/>
    <cellStyle name="daude" xfId="2321"/>
    <cellStyle name="Dezimal [0]_NEGS" xfId="2322"/>
    <cellStyle name="Dezimal_NEGS" xfId="2323"/>
    <cellStyle name="_x0001_dÏÈ¹ " xfId="2324"/>
    <cellStyle name="_x0001_dÏÈ¹ ?[?0?" xfId="2325"/>
    <cellStyle name="_x0001_dÏÈ¹_" xfId="2326"/>
    <cellStyle name="Dollar (zero dec)" xfId="2327"/>
    <cellStyle name="Dollar (zero dec) 2" xfId="2328"/>
    <cellStyle name="Dollar (zero dec) 3" xfId="2329"/>
    <cellStyle name="DuToanBXD" xfId="2330"/>
    <cellStyle name="Dziesi?tny [0]_Invoices2001Slovakia" xfId="2331"/>
    <cellStyle name="Dziesi?tny_Invoices2001Slovakia" xfId="2332"/>
    <cellStyle name="Dziesietny [0]_Invoices2001Slovakia" xfId="2333"/>
    <cellStyle name="Dziesiętny [0]_Invoices2001Slovakia" xfId="2334"/>
    <cellStyle name="Dziesietny [0]_Invoices2001Slovakia_Book1" xfId="2335"/>
    <cellStyle name="Dziesiętny [0]_Invoices2001Slovakia_Book1" xfId="2336"/>
    <cellStyle name="Dziesietny [0]_Invoices2001Slovakia_Book1_Tong hop Cac tuyen(9-1-06)" xfId="2337"/>
    <cellStyle name="Dziesiętny [0]_Invoices2001Slovakia_Book1_Tong hop Cac tuyen(9-1-06)" xfId="2338"/>
    <cellStyle name="Dziesietny [0]_Invoices2001Slovakia_Book1_Tong hop Cac tuyen(9-1-06)_Book1" xfId="2339"/>
    <cellStyle name="Dziesiętny [0]_Invoices2001Slovakia_Book1_Tong hop Cac tuyen(9-1-06)_Book1" xfId="2340"/>
    <cellStyle name="Dziesietny [0]_Invoices2001Slovakia_KL K.C mat duong" xfId="2341"/>
    <cellStyle name="Dziesiętny [0]_Invoices2001Slovakia_Nhalamviec VTC(25-1-05)" xfId="2342"/>
    <cellStyle name="Dziesietny [0]_Invoices2001Slovakia_TDT KHANH HOA" xfId="2343"/>
    <cellStyle name="Dziesiętny [0]_Invoices2001Slovakia_TDT KHANH HOA" xfId="2344"/>
    <cellStyle name="Dziesietny [0]_Invoices2001Slovakia_TDT KHANH HOA_Tong hop Cac tuyen(9-1-06)" xfId="2345"/>
    <cellStyle name="Dziesiętny [0]_Invoices2001Slovakia_TDT KHANH HOA_Tong hop Cac tuyen(9-1-06)" xfId="2346"/>
    <cellStyle name="Dziesietny [0]_Invoices2001Slovakia_TDT KHANH HOA_Tong hop Cac tuyen(9-1-06)_Book1" xfId="2347"/>
    <cellStyle name="Dziesiętny [0]_Invoices2001Slovakia_TDT KHANH HOA_Tong hop Cac tuyen(9-1-06)_Book1" xfId="2348"/>
    <cellStyle name="Dziesietny [0]_Invoices2001Slovakia_TDT quangngai" xfId="2349"/>
    <cellStyle name="Dziesiętny [0]_Invoices2001Slovakia_TDT quangngai" xfId="2350"/>
    <cellStyle name="Dziesietny [0]_Invoices2001Slovakia_Tong hop Cac tuyen(9-1-06)" xfId="2351"/>
    <cellStyle name="Dziesietny_Invoices2001Slovakia" xfId="2352"/>
    <cellStyle name="Dziesiętny_Invoices2001Slovakia" xfId="2353"/>
    <cellStyle name="Dziesietny_Invoices2001Slovakia_Book1" xfId="2354"/>
    <cellStyle name="Dziesiętny_Invoices2001Slovakia_Book1" xfId="2355"/>
    <cellStyle name="Dziesietny_Invoices2001Slovakia_Book1_Tong hop Cac tuyen(9-1-06)" xfId="2356"/>
    <cellStyle name="Dziesiętny_Invoices2001Slovakia_Book1_Tong hop Cac tuyen(9-1-06)" xfId="2357"/>
    <cellStyle name="Dziesietny_Invoices2001Slovakia_Book1_Tong hop Cac tuyen(9-1-06)_Book1" xfId="2358"/>
    <cellStyle name="Dziesiętny_Invoices2001Slovakia_Book1_Tong hop Cac tuyen(9-1-06)_Book1" xfId="2359"/>
    <cellStyle name="Dziesietny_Invoices2001Slovakia_KL K.C mat duong" xfId="2360"/>
    <cellStyle name="Dziesiętny_Invoices2001Slovakia_Nhalamviec VTC(25-1-05)" xfId="2361"/>
    <cellStyle name="Dziesietny_Invoices2001Slovakia_TDT KHANH HOA" xfId="2362"/>
    <cellStyle name="Dziesiętny_Invoices2001Slovakia_TDT KHANH HOA" xfId="2363"/>
    <cellStyle name="Dziesietny_Invoices2001Slovakia_TDT KHANH HOA_Tong hop Cac tuyen(9-1-06)" xfId="2364"/>
    <cellStyle name="Dziesiętny_Invoices2001Slovakia_TDT KHANH HOA_Tong hop Cac tuyen(9-1-06)" xfId="2365"/>
    <cellStyle name="Dziesietny_Invoices2001Slovakia_TDT KHANH HOA_Tong hop Cac tuyen(9-1-06)_Book1" xfId="2366"/>
    <cellStyle name="Dziesiętny_Invoices2001Slovakia_TDT KHANH HOA_Tong hop Cac tuyen(9-1-06)_Book1" xfId="2367"/>
    <cellStyle name="Dziesietny_Invoices2001Slovakia_TDT quangngai" xfId="2368"/>
    <cellStyle name="Dziesiętny_Invoices2001Slovakia_TDT quangngai" xfId="2369"/>
    <cellStyle name="Dziesietny_Invoices2001Slovakia_Tong hop Cac tuyen(9-1-06)" xfId="2370"/>
    <cellStyle name="e" xfId="2371"/>
    <cellStyle name="e_Bieu_KH_2010_Giao" xfId="2372"/>
    <cellStyle name="e_BieuKH.TM(T12.Gui TH)_2" xfId="2373"/>
    <cellStyle name="e_Book1" xfId="2374"/>
    <cellStyle name="e_Chi tieu su nghiep VHXH 2009 chi tiet_01_12qh3t12" xfId="2375"/>
    <cellStyle name="e_Chinhthuc_Dongquyen_NLN" xfId="2376"/>
    <cellStyle name="e_ChiTieu_KeHoach_2009" xfId="2377"/>
    <cellStyle name="e_Danhmuc_Quyhoach2009" xfId="2378"/>
    <cellStyle name="e_KH Von Dieu tra CBMT 2009ngay3t12qh4t12" xfId="2379"/>
    <cellStyle name="e_KH_2009_CongThuong" xfId="2380"/>
    <cellStyle name="e_KH_SXNL_2009" xfId="2381"/>
    <cellStyle name="e_KHXDCB_2009_ HDND" xfId="2382"/>
    <cellStyle name="e_Kiennghi_TTCP" xfId="2383"/>
    <cellStyle name="e_Kiennghi_TTCP_Bosung" xfId="2384"/>
    <cellStyle name="e_Kiennghi_TTCP_Bosung_lan2" xfId="2385"/>
    <cellStyle name="e_Kiennghibosungvon_TTCP_2" xfId="2386"/>
    <cellStyle name="e_Nhucauvon_2010" xfId="2387"/>
    <cellStyle name="e_Phanbotindung_2009_KH" xfId="2388"/>
    <cellStyle name="e_Sheet1" xfId="2389"/>
    <cellStyle name="Emphasis 1" xfId="2390"/>
    <cellStyle name="Emphasis 2" xfId="2391"/>
    <cellStyle name="Emphasis 3" xfId="2392"/>
    <cellStyle name="EN CO.," xfId="2393"/>
    <cellStyle name="Enter Currency (0)" xfId="2394"/>
    <cellStyle name="Enter Currency (2)" xfId="2395"/>
    <cellStyle name="Enter Units (0)" xfId="2396"/>
    <cellStyle name="Enter Units (1)" xfId="2397"/>
    <cellStyle name="Enter Units (2)" xfId="2398"/>
    <cellStyle name="Entered" xfId="2399"/>
    <cellStyle name="Euro" xfId="2400"/>
    <cellStyle name="Explanatory Text" xfId="2401"/>
    <cellStyle name="Explanatory Text 2" xfId="2402"/>
    <cellStyle name="f" xfId="2403"/>
    <cellStyle name="f_Bieu_KH_2010_Giao" xfId="2404"/>
    <cellStyle name="f_BieuKH.TM(T12.Gui TH)_2" xfId="2405"/>
    <cellStyle name="f_Book1" xfId="2406"/>
    <cellStyle name="f_Chi tieu su nghiep VHXH 2009 chi tiet_01_12qh3t12" xfId="2407"/>
    <cellStyle name="f_Chinhthuc_Dongquyen_NLN" xfId="2408"/>
    <cellStyle name="f_ChiTieu_KeHoach_2009" xfId="2409"/>
    <cellStyle name="f_Danhmuc_Quyhoach2009" xfId="2410"/>
    <cellStyle name="f_Danhmuc_Quyhoach2009 2" xfId="2411"/>
    <cellStyle name="f_Danhmuc_Quyhoach2009 2_31.3BIEU QUYET TOAN NGAN SACH 2017" xfId="2412"/>
    <cellStyle name="f_KH Von Dieu tra CBMT 2009ngay3t12qh4t12" xfId="2413"/>
    <cellStyle name="f_KH_2009_CongThuong" xfId="2414"/>
    <cellStyle name="f_KH_SXNL_2009" xfId="2415"/>
    <cellStyle name="f_KHXDCB_2009_ HDND" xfId="2416"/>
    <cellStyle name="f_Kiennghi_TTCP" xfId="2417"/>
    <cellStyle name="f_Kiennghi_TTCP_Bosung" xfId="2418"/>
    <cellStyle name="f_Kiennghi_TTCP_Bosung_lan2" xfId="2419"/>
    <cellStyle name="f_Kiennghibosungvon_TTCP_2" xfId="2420"/>
    <cellStyle name="f_Nhucauvon_2010" xfId="2421"/>
    <cellStyle name="f_Phanbotindung_2009_KH" xfId="2422"/>
    <cellStyle name="f_Sheet1" xfId="2423"/>
    <cellStyle name="Fixed" xfId="2424"/>
    <cellStyle name="Fixed 2" xfId="2425"/>
    <cellStyle name="Followed Hyperlink" xfId="2426"/>
    <cellStyle name="Font Britannic16" xfId="2427"/>
    <cellStyle name="Font Britannic18" xfId="2428"/>
    <cellStyle name="Font CenturyCond 18" xfId="2429"/>
    <cellStyle name="Font Cond20" xfId="2430"/>
    <cellStyle name="Font LucidaSans16" xfId="2431"/>
    <cellStyle name="Font NewCenturyCond18" xfId="2432"/>
    <cellStyle name="Font Ottawa14" xfId="2433"/>
    <cellStyle name="Font Ottawa16" xfId="2434"/>
    <cellStyle name="Good" xfId="2435"/>
    <cellStyle name="Grey" xfId="2436"/>
    <cellStyle name="H" xfId="2437"/>
    <cellStyle name="H_6_Dieuchinh_6thang_2010_Totrinh_HDND" xfId="2438"/>
    <cellStyle name="H_BCXDCB_6thang_2010_BTV" xfId="2439"/>
    <cellStyle name="H_BieuKH.TM(T12.Gui TH)_2" xfId="2440"/>
    <cellStyle name="H_BieuKH.TM(T12.Gui TH)_2_6_Dieuchinh_6thang_2010_Totrinh_HDND" xfId="2441"/>
    <cellStyle name="H_BieuKH.TM(T12.Gui TH)_2_BCXDCB_6thang_2010_BTV" xfId="2442"/>
    <cellStyle name="H_BieuKH.TM(T12.Gui TH)_2_Nhucauvon_2010" xfId="2443"/>
    <cellStyle name="H_BieuKH.TM(T12.Gui TH)_2_Nhucauvon_2010_6_BCXDCB_6thang_2010_BCH" xfId="2444"/>
    <cellStyle name="H_Chi tieu su nghiep VHXH 2009 chi tiet_01_12qh3t12" xfId="2445"/>
    <cellStyle name="H_Chi tieu su nghiep VHXH 2009 chi tiet_01_12qh3t12_6_Dieuchinh_6thang_2010_Totrinh_HDND" xfId="2446"/>
    <cellStyle name="H_Chi tieu su nghiep VHXH 2009 chi tiet_01_12qh3t12_BCXDCB_6thang_2010_BTV" xfId="2447"/>
    <cellStyle name="H_Chi tieu su nghiep VHXH 2009 chi tiet_01_12qh3t12_Nhucauvon_2010" xfId="2448"/>
    <cellStyle name="H_Chi tieu su nghiep VHXH 2009 chi tiet_01_12qh3t12_Nhucauvon_2010_6_BCXDCB_6thang_2010_BCH" xfId="2449"/>
    <cellStyle name="H_Chinhthuc_Dongquyen_NLN" xfId="2450"/>
    <cellStyle name="H_Chinhthuc_Dongquyen_NLN_6_Dieuchinh_6thang_2010_Totrinh_HDND" xfId="2451"/>
    <cellStyle name="H_Chinhthuc_Dongquyen_NLN_BCXDCB_6thang_2010_BTV" xfId="2452"/>
    <cellStyle name="H_Chinhthuc_Dongquyen_NLN_Nhucauvon_2010" xfId="2453"/>
    <cellStyle name="H_Chinhthuc_Dongquyen_NLN_Nhucauvon_2010_6_BCXDCB_6thang_2010_BCH" xfId="2454"/>
    <cellStyle name="H_ChiTieu_KeHoach_2009" xfId="2455"/>
    <cellStyle name="H_ChiTieu_KeHoach_2009_6_Dieuchinh_6thang_2010_Totrinh_HDND" xfId="2456"/>
    <cellStyle name="H_ChiTieu_KeHoach_2009_BCXDCB_6thang_2010_BTV" xfId="2457"/>
    <cellStyle name="H_ChiTieu_KeHoach_2009_Nhucauvon_2010" xfId="2458"/>
    <cellStyle name="H_ChiTieu_KeHoach_2009_Nhucauvon_2010_6_BCXDCB_6thang_2010_BCH" xfId="2459"/>
    <cellStyle name="H_Danhmuc_Quyhoach2009" xfId="2460"/>
    <cellStyle name="H_Danhmuc_Quyhoach2009_6_Dieuchinh_6thang_2010_Totrinh_HDND" xfId="2461"/>
    <cellStyle name="H_Danhmuc_Quyhoach2009_BCXDCB_6thang_2010_BTV" xfId="2462"/>
    <cellStyle name="H_Danhmuc_Quyhoach2009_Nhucauvon_2010" xfId="2463"/>
    <cellStyle name="H_Danhmuc_Quyhoach2009_Nhucauvon_2010_6_BCXDCB_6thang_2010_BCH" xfId="2464"/>
    <cellStyle name="H_D-A-VU" xfId="2465"/>
    <cellStyle name="H_D-A-VU_6_Dieuchinh_6thang_2010_Totrinh_HDND" xfId="2466"/>
    <cellStyle name="H_D-A-VU_BCXDCB_6thang_2010_BTV" xfId="2467"/>
    <cellStyle name="H_D-A-VU_BieuKH.TM(T12.Gui TH)_2" xfId="2468"/>
    <cellStyle name="H_D-A-VU_BieuKH.TM(T12.Gui TH)_2_6_Dieuchinh_6thang_2010_Totrinh_HDND" xfId="2469"/>
    <cellStyle name="H_D-A-VU_BieuKH.TM(T12.Gui TH)_2_BCXDCB_6thang_2010_BTV" xfId="2470"/>
    <cellStyle name="H_D-A-VU_BieuKH.TM(T12.Gui TH)_2_Nhucauvon_2010" xfId="2471"/>
    <cellStyle name="H_D-A-VU_BieuKH.TM(T12.Gui TH)_2_Nhucauvon_2010_6_BCXDCB_6thang_2010_BCH" xfId="2472"/>
    <cellStyle name="H_D-A-VU_Chi tieu su nghiep VHXH 2009 chi tiet_01_12qh3t12" xfId="2473"/>
    <cellStyle name="H_D-A-VU_Chi tieu su nghiep VHXH 2009 chi tiet_01_12qh3t12_6_Dieuchinh_6thang_2010_Totrinh_HDND" xfId="2474"/>
    <cellStyle name="H_D-A-VU_Chi tieu su nghiep VHXH 2009 chi tiet_01_12qh3t12_BCXDCB_6thang_2010_BTV" xfId="2475"/>
    <cellStyle name="H_D-A-VU_Chi tieu su nghiep VHXH 2009 chi tiet_01_12qh3t12_Nhucauvon_2010" xfId="2476"/>
    <cellStyle name="H_D-A-VU_Chi tieu su nghiep VHXH 2009 chi tiet_01_12qh3t12_Nhucauvon_2010_6_BCXDCB_6thang_2010_BCH" xfId="2477"/>
    <cellStyle name="H_D-A-VU_Chinhthuc_Dongquyen_NLN" xfId="2478"/>
    <cellStyle name="H_D-A-VU_Chinhthuc_Dongquyen_NLN_6_Dieuchinh_6thang_2010_Totrinh_HDND" xfId="2479"/>
    <cellStyle name="H_D-A-VU_Chinhthuc_Dongquyen_NLN_BCXDCB_6thang_2010_BTV" xfId="2480"/>
    <cellStyle name="H_D-A-VU_Chinhthuc_Dongquyen_NLN_Nhucauvon_2010" xfId="2481"/>
    <cellStyle name="H_D-A-VU_Chinhthuc_Dongquyen_NLN_Nhucauvon_2010_6_BCXDCB_6thang_2010_BCH" xfId="2482"/>
    <cellStyle name="H_D-A-VU_ChiTieu_KeHoach_2009" xfId="2483"/>
    <cellStyle name="H_D-A-VU_ChiTieu_KeHoach_2009_6_Dieuchinh_6thang_2010_Totrinh_HDND" xfId="2484"/>
    <cellStyle name="H_D-A-VU_ChiTieu_KeHoach_2009_BCXDCB_6thang_2010_BTV" xfId="2485"/>
    <cellStyle name="H_D-A-VU_ChiTieu_KeHoach_2009_Nhucauvon_2010" xfId="2486"/>
    <cellStyle name="H_D-A-VU_ChiTieu_KeHoach_2009_Nhucauvon_2010_6_BCXDCB_6thang_2010_BCH" xfId="2487"/>
    <cellStyle name="H_D-A-VU_Danhmuc_Quyhoach2009" xfId="2488"/>
    <cellStyle name="H_D-A-VU_Danhmuc_Quyhoach2009_6_Dieuchinh_6thang_2010_Totrinh_HDND" xfId="2489"/>
    <cellStyle name="H_D-A-VU_Danhmuc_Quyhoach2009_BCXDCB_6thang_2010_BTV" xfId="2490"/>
    <cellStyle name="H_D-A-VU_Danhmuc_Quyhoach2009_Nhucauvon_2010" xfId="2491"/>
    <cellStyle name="H_D-A-VU_Danhmuc_Quyhoach2009_Nhucauvon_2010_6_BCXDCB_6thang_2010_BCH" xfId="2492"/>
    <cellStyle name="H_D-A-VU_KH Von Dieu tra CBMT 2009ngay3t12qh4t12" xfId="2493"/>
    <cellStyle name="H_D-A-VU_KH Von Dieu tra CBMT 2009ngay3t12qh4t12_6_Dieuchinh_6thang_2010_Totrinh_HDND" xfId="2494"/>
    <cellStyle name="H_D-A-VU_KH Von Dieu tra CBMT 2009ngay3t12qh4t12_BCXDCB_6thang_2010_BTV" xfId="2495"/>
    <cellStyle name="H_D-A-VU_KH Von Dieu tra CBMT 2009ngay3t12qh4t12_Nhucauvon_2010" xfId="2496"/>
    <cellStyle name="H_D-A-VU_KH Von Dieu tra CBMT 2009ngay3t12qh4t12_Nhucauvon_2010_6_BCXDCB_6thang_2010_BCH" xfId="2497"/>
    <cellStyle name="H_D-A-VU_KH_2009_CongThuong" xfId="2498"/>
    <cellStyle name="H_D-A-VU_KH_2009_CongThuong_6_Dieuchinh_6thang_2010_Totrinh_HDND" xfId="2499"/>
    <cellStyle name="H_D-A-VU_KH_2009_CongThuong_BCXDCB_6thang_2010_BTV" xfId="2500"/>
    <cellStyle name="H_D-A-VU_KH_2009_CongThuong_Nhucauvon_2010" xfId="2501"/>
    <cellStyle name="H_D-A-VU_KH_2009_CongThuong_Nhucauvon_2010_6_BCXDCB_6thang_2010_BCH" xfId="2502"/>
    <cellStyle name="H_D-A-VU_KH_SXNL_2009" xfId="2503"/>
    <cellStyle name="H_D-A-VU_KH_SXNL_2009_6_Dieuchinh_6thang_2010_Totrinh_HDND" xfId="2504"/>
    <cellStyle name="H_D-A-VU_KH_SXNL_2009_BCXDCB_6thang_2010_BTV" xfId="2505"/>
    <cellStyle name="H_D-A-VU_KH_SXNL_2009_Nhucauvon_2010" xfId="2506"/>
    <cellStyle name="H_D-A-VU_KH_SXNL_2009_Nhucauvon_2010_6_BCXDCB_6thang_2010_BCH" xfId="2507"/>
    <cellStyle name="H_D-A-VU_KHXDCB_2009_ HDND" xfId="2508"/>
    <cellStyle name="H_D-A-VU_KHXDCB_2009_ HDND_6_Dieuchinh_6thang_2010_Totrinh_HDND" xfId="2509"/>
    <cellStyle name="H_D-A-VU_KHXDCB_2009_ HDND_BCXDCB_6thang_2010_BTV" xfId="2510"/>
    <cellStyle name="H_D-A-VU_KHXDCB_2009_ HDND_Nhucauvon_2010" xfId="2511"/>
    <cellStyle name="H_D-A-VU_KHXDCB_2009_ HDND_Nhucauvon_2010_6_BCXDCB_6thang_2010_BCH" xfId="2512"/>
    <cellStyle name="H_D-A-VU_Kiennghi_TTCP" xfId="2513"/>
    <cellStyle name="H_D-A-VU_Kiennghi_TTCP_Bosung" xfId="2514"/>
    <cellStyle name="H_D-A-VU_Kiennghi_TTCP_Bosung_lan2" xfId="2515"/>
    <cellStyle name="H_D-A-VU_Kiennghibosungvon_TTCP_2" xfId="2516"/>
    <cellStyle name="H_D-A-VU_Nhucauvon_2010" xfId="2517"/>
    <cellStyle name="H_D-A-VU_Nhucauvon_2010_6_BCXDCB_6thang_2010_BCH" xfId="2518"/>
    <cellStyle name="H_D-A-VU_Phanbotindung_2009_KH" xfId="2519"/>
    <cellStyle name="H_D-A-VU_Phanbotindung_2009_KH_6_Dieuchinh_6thang_2010_Totrinh_HDND" xfId="2520"/>
    <cellStyle name="H_D-A-VU_Phanbotindung_2009_KH_BCXDCB_6thang_2010_BTV" xfId="2521"/>
    <cellStyle name="H_D-A-VU_Phanbotindung_2009_KH_Nhucauvon_2010" xfId="2522"/>
    <cellStyle name="H_D-A-VU_Phanbotindung_2009_KH_Nhucauvon_2010_6_BCXDCB_6thang_2010_BCH" xfId="2523"/>
    <cellStyle name="H_HSTHAU" xfId="2524"/>
    <cellStyle name="H_HSTHAU_6_Dieuchinh_6thang_2010_Totrinh_HDND" xfId="2525"/>
    <cellStyle name="H_HSTHAU_BCXDCB_6thang_2010_BTV" xfId="2526"/>
    <cellStyle name="H_HSTHAU_BieuKH.TM(T12.Gui TH)_2" xfId="2527"/>
    <cellStyle name="H_HSTHAU_BieuKH.TM(T12.Gui TH)_2_6_Dieuchinh_6thang_2010_Totrinh_HDND" xfId="2528"/>
    <cellStyle name="H_HSTHAU_BieuKH.TM(T12.Gui TH)_2_BCXDCB_6thang_2010_BTV" xfId="2529"/>
    <cellStyle name="H_HSTHAU_BieuKH.TM(T12.Gui TH)_2_Nhucauvon_2010" xfId="2530"/>
    <cellStyle name="H_HSTHAU_BieuKH.TM(T12.Gui TH)_2_Nhucauvon_2010_6_BCXDCB_6thang_2010_BCH" xfId="2531"/>
    <cellStyle name="H_HSTHAU_Chi tieu su nghiep VHXH 2009 chi tiet_01_12qh3t12" xfId="2532"/>
    <cellStyle name="H_HSTHAU_Chi tieu su nghiep VHXH 2009 chi tiet_01_12qh3t12_6_Dieuchinh_6thang_2010_Totrinh_HDND" xfId="2533"/>
    <cellStyle name="H_HSTHAU_Chi tieu su nghiep VHXH 2009 chi tiet_01_12qh3t12_BCXDCB_6thang_2010_BTV" xfId="2534"/>
    <cellStyle name="H_HSTHAU_Chi tieu su nghiep VHXH 2009 chi tiet_01_12qh3t12_Nhucauvon_2010" xfId="2535"/>
    <cellStyle name="H_HSTHAU_Chi tieu su nghiep VHXH 2009 chi tiet_01_12qh3t12_Nhucauvon_2010_6_BCXDCB_6thang_2010_BCH" xfId="2536"/>
    <cellStyle name="H_HSTHAU_Chinhthuc_Dongquyen_NLN" xfId="2537"/>
    <cellStyle name="H_HSTHAU_Chinhthuc_Dongquyen_NLN_6_Dieuchinh_6thang_2010_Totrinh_HDND" xfId="2538"/>
    <cellStyle name="H_HSTHAU_Chinhthuc_Dongquyen_NLN_BCXDCB_6thang_2010_BTV" xfId="2539"/>
    <cellStyle name="H_HSTHAU_Chinhthuc_Dongquyen_NLN_Nhucauvon_2010" xfId="2540"/>
    <cellStyle name="H_HSTHAU_Chinhthuc_Dongquyen_NLN_Nhucauvon_2010_6_BCXDCB_6thang_2010_BCH" xfId="2541"/>
    <cellStyle name="H_HSTHAU_ChiTieu_KeHoach_2009" xfId="2542"/>
    <cellStyle name="H_HSTHAU_ChiTieu_KeHoach_2009_6_Dieuchinh_6thang_2010_Totrinh_HDND" xfId="2543"/>
    <cellStyle name="H_HSTHAU_ChiTieu_KeHoach_2009_BCXDCB_6thang_2010_BTV" xfId="2544"/>
    <cellStyle name="H_HSTHAU_ChiTieu_KeHoach_2009_Nhucauvon_2010" xfId="2545"/>
    <cellStyle name="H_HSTHAU_ChiTieu_KeHoach_2009_Nhucauvon_2010_6_BCXDCB_6thang_2010_BCH" xfId="2546"/>
    <cellStyle name="H_HSTHAU_Danhmuc_Quyhoach2009" xfId="2547"/>
    <cellStyle name="H_HSTHAU_Danhmuc_Quyhoach2009_6_Dieuchinh_6thang_2010_Totrinh_HDND" xfId="2548"/>
    <cellStyle name="H_HSTHAU_Danhmuc_Quyhoach2009_BCXDCB_6thang_2010_BTV" xfId="2549"/>
    <cellStyle name="H_HSTHAU_Danhmuc_Quyhoach2009_Nhucauvon_2010" xfId="2550"/>
    <cellStyle name="H_HSTHAU_Danhmuc_Quyhoach2009_Nhucauvon_2010_6_BCXDCB_6thang_2010_BCH" xfId="2551"/>
    <cellStyle name="H_HSTHAU_KH Von Dieu tra CBMT 2009ngay3t12qh4t12" xfId="2552"/>
    <cellStyle name="H_HSTHAU_KH Von Dieu tra CBMT 2009ngay3t12qh4t12_6_Dieuchinh_6thang_2010_Totrinh_HDND" xfId="2553"/>
    <cellStyle name="H_HSTHAU_KH Von Dieu tra CBMT 2009ngay3t12qh4t12_BCXDCB_6thang_2010_BTV" xfId="2554"/>
    <cellStyle name="H_HSTHAU_KH Von Dieu tra CBMT 2009ngay3t12qh4t12_Nhucauvon_2010" xfId="2555"/>
    <cellStyle name="H_HSTHAU_KH Von Dieu tra CBMT 2009ngay3t12qh4t12_Nhucauvon_2010_6_BCXDCB_6thang_2010_BCH" xfId="2556"/>
    <cellStyle name="H_HSTHAU_KH_2009_CongThuong" xfId="2557"/>
    <cellStyle name="H_HSTHAU_KH_2009_CongThuong_6_Dieuchinh_6thang_2010_Totrinh_HDND" xfId="2558"/>
    <cellStyle name="H_HSTHAU_KH_2009_CongThuong_BCXDCB_6thang_2010_BTV" xfId="2559"/>
    <cellStyle name="H_HSTHAU_KH_2009_CongThuong_Nhucauvon_2010" xfId="2560"/>
    <cellStyle name="H_HSTHAU_KH_2009_CongThuong_Nhucauvon_2010_6_BCXDCB_6thang_2010_BCH" xfId="2561"/>
    <cellStyle name="H_HSTHAU_KH_SXNL_2009" xfId="2562"/>
    <cellStyle name="H_HSTHAU_KH_SXNL_2009_6_Dieuchinh_6thang_2010_Totrinh_HDND" xfId="2563"/>
    <cellStyle name="H_HSTHAU_KH_SXNL_2009_BCXDCB_6thang_2010_BTV" xfId="2564"/>
    <cellStyle name="H_HSTHAU_KH_SXNL_2009_Nhucauvon_2010" xfId="2565"/>
    <cellStyle name="H_HSTHAU_KH_SXNL_2009_Nhucauvon_2010_6_BCXDCB_6thang_2010_BCH" xfId="2566"/>
    <cellStyle name="H_HSTHAU_KHXDCB_2009_ HDND" xfId="2567"/>
    <cellStyle name="H_HSTHAU_KHXDCB_2009_ HDND_6_Dieuchinh_6thang_2010_Totrinh_HDND" xfId="2568"/>
    <cellStyle name="H_HSTHAU_KHXDCB_2009_ HDND_BCXDCB_6thang_2010_BTV" xfId="2569"/>
    <cellStyle name="H_HSTHAU_KHXDCB_2009_ HDND_Nhucauvon_2010" xfId="2570"/>
    <cellStyle name="H_HSTHAU_KHXDCB_2009_ HDND_Nhucauvon_2010_6_BCXDCB_6thang_2010_BCH" xfId="2571"/>
    <cellStyle name="H_HSTHAU_Kiennghi_TTCP" xfId="2572"/>
    <cellStyle name="H_HSTHAU_Kiennghi_TTCP_Bosung" xfId="2573"/>
    <cellStyle name="H_HSTHAU_Kiennghi_TTCP_Bosung_lan2" xfId="2574"/>
    <cellStyle name="H_HSTHAU_Kiennghibosungvon_TTCP_2" xfId="2575"/>
    <cellStyle name="H_HSTHAU_Nhucauvon_2010" xfId="2576"/>
    <cellStyle name="H_HSTHAU_Nhucauvon_2010_6_BCXDCB_6thang_2010_BCH" xfId="2577"/>
    <cellStyle name="H_HSTHAU_Phanbotindung_2009_KH" xfId="2578"/>
    <cellStyle name="H_HSTHAU_Phanbotindung_2009_KH_6_Dieuchinh_6thang_2010_Totrinh_HDND" xfId="2579"/>
    <cellStyle name="H_HSTHAU_Phanbotindung_2009_KH_BCXDCB_6thang_2010_BTV" xfId="2580"/>
    <cellStyle name="H_HSTHAU_Phanbotindung_2009_KH_Nhucauvon_2010" xfId="2581"/>
    <cellStyle name="H_HSTHAU_Phanbotindung_2009_KH_Nhucauvon_2010_6_BCXDCB_6thang_2010_BCH" xfId="2582"/>
    <cellStyle name="H_KH Von Dieu tra CBMT 2009ngay3t12qh4t12" xfId="2583"/>
    <cellStyle name="H_KH Von Dieu tra CBMT 2009ngay3t12qh4t12_6_Dieuchinh_6thang_2010_Totrinh_HDND" xfId="2584"/>
    <cellStyle name="H_KH Von Dieu tra CBMT 2009ngay3t12qh4t12_BCXDCB_6thang_2010_BTV" xfId="2585"/>
    <cellStyle name="H_KH Von Dieu tra CBMT 2009ngay3t12qh4t12_Nhucauvon_2010" xfId="2586"/>
    <cellStyle name="H_KH Von Dieu tra CBMT 2009ngay3t12qh4t12_Nhucauvon_2010_6_BCXDCB_6thang_2010_BCH" xfId="2587"/>
    <cellStyle name="H_KH_2009_CongThuong" xfId="2588"/>
    <cellStyle name="H_KH_2009_CongThuong_6_Dieuchinh_6thang_2010_Totrinh_HDND" xfId="2589"/>
    <cellStyle name="H_KH_2009_CongThuong_BCXDCB_6thang_2010_BTV" xfId="2590"/>
    <cellStyle name="H_KH_2009_CongThuong_Nhucauvon_2010" xfId="2591"/>
    <cellStyle name="H_KH_2009_CongThuong_Nhucauvon_2010_6_BCXDCB_6thang_2010_BCH" xfId="2592"/>
    <cellStyle name="H_KH_SXNL_2009" xfId="2593"/>
    <cellStyle name="H_KH_SXNL_2009_6_Dieuchinh_6thang_2010_Totrinh_HDND" xfId="2594"/>
    <cellStyle name="H_KH_SXNL_2009_BCXDCB_6thang_2010_BTV" xfId="2595"/>
    <cellStyle name="H_KH_SXNL_2009_Nhucauvon_2010" xfId="2596"/>
    <cellStyle name="H_KH_SXNL_2009_Nhucauvon_2010_6_BCXDCB_6thang_2010_BCH" xfId="2597"/>
    <cellStyle name="H_KHXDCB_2009_ HDND" xfId="2598"/>
    <cellStyle name="H_KHXDCB_2009_ HDND_6_Dieuchinh_6thang_2010_Totrinh_HDND" xfId="2599"/>
    <cellStyle name="H_KHXDCB_2009_ HDND_BCXDCB_6thang_2010_BTV" xfId="2600"/>
    <cellStyle name="H_KHXDCB_2009_ HDND_Nhucauvon_2010" xfId="2601"/>
    <cellStyle name="H_KHXDCB_2009_ HDND_Nhucauvon_2010_6_BCXDCB_6thang_2010_BCH" xfId="2602"/>
    <cellStyle name="H_Kiennghi_TTCP" xfId="2603"/>
    <cellStyle name="H_Kiennghi_TTCP_Bosung" xfId="2604"/>
    <cellStyle name="H_Kiennghi_TTCP_Bosung_lan2" xfId="2605"/>
    <cellStyle name="H_Kiennghibosungvon_TTCP_2" xfId="2606"/>
    <cellStyle name="H_Nhucauvon_2010" xfId="2607"/>
    <cellStyle name="H_Nhucauvon_2010_6_BCXDCB_6thang_2010_BCH" xfId="2608"/>
    <cellStyle name="H_Phanbotindung_2009_KH" xfId="2609"/>
    <cellStyle name="H_Phanbotindung_2009_KH_6_Dieuchinh_6thang_2010_Totrinh_HDND" xfId="2610"/>
    <cellStyle name="H_Phanbotindung_2009_KH_BCXDCB_6thang_2010_BTV" xfId="2611"/>
    <cellStyle name="H_Phanbotindung_2009_KH_Nhucauvon_2010" xfId="2612"/>
    <cellStyle name="H_Phanbotindung_2009_KH_Nhucauvon_2010_6_BCXDCB_6thang_2010_BCH" xfId="2613"/>
    <cellStyle name="ha" xfId="2614"/>
    <cellStyle name="HAI" xfId="2615"/>
    <cellStyle name="Head 1" xfId="2616"/>
    <cellStyle name="HEADER" xfId="2617"/>
    <cellStyle name="Header1" xfId="2618"/>
    <cellStyle name="Header2" xfId="2619"/>
    <cellStyle name="Heading 1" xfId="2620"/>
    <cellStyle name="Heading 2" xfId="2621"/>
    <cellStyle name="Heading 3" xfId="2622"/>
    <cellStyle name="Heading 4" xfId="2623"/>
    <cellStyle name="HEADING1" xfId="2624"/>
    <cellStyle name="Heading1 1" xfId="2625"/>
    <cellStyle name="HEADING1 2" xfId="2626"/>
    <cellStyle name="HEADING1_Book1" xfId="2627"/>
    <cellStyle name="HEADING2" xfId="2628"/>
    <cellStyle name="HEADING2 2" xfId="2629"/>
    <cellStyle name="HEADINGS" xfId="2630"/>
    <cellStyle name="HEADINGSTOP" xfId="2631"/>
    <cellStyle name="headoption" xfId="2632"/>
    <cellStyle name="Hoa-Scholl" xfId="2633"/>
    <cellStyle name="Hyperlink" xfId="2634"/>
    <cellStyle name="i·0" xfId="2635"/>
    <cellStyle name="_x0001_í½?" xfId="2636"/>
    <cellStyle name="_x0001_í½??_?B?O?" xfId="2637"/>
    <cellStyle name="_x0001_íå_x001B_ô " xfId="2638"/>
    <cellStyle name="_x0001_íå_x001B_ô ?[?0?.?0?0?]?_? ?A" xfId="2639"/>
    <cellStyle name="_x0001_íå_x001B_ô_" xfId="2640"/>
    <cellStyle name="Input" xfId="2641"/>
    <cellStyle name="Input [yellow]" xfId="2642"/>
    <cellStyle name="k" xfId="2643"/>
    <cellStyle name="k_TONG HOP KINH PHI" xfId="2644"/>
    <cellStyle name="k_TONG HOP KINH PHI?_x000F_Hyperlink_ÿÿÿÿÿ?b_x0011_Hyperlink_ÿÿÿÿÿ_1?b_x0011_Hyperlink_ÿÿÿÿÿ_2?b_x000C_Normal_®.d©y?_x000C_Normal_®Ò&#13;Normal" xfId="2645"/>
    <cellStyle name="k_ÿÿÿÿÿ" xfId="2646"/>
    <cellStyle name="k_ÿÿÿÿÿ?b_x0011_Hyperlink_ÿÿÿÿÿ_1?b_x0011_Hyperlink_ÿÿÿÿÿ_2?b_x000C_Normal_®.d©y?_x000C_Normal_®Ò&#13;Normal_123569?b_x000F_Normal_5HUYIC~1?_x0011_No" xfId="2647"/>
    <cellStyle name="k_ÿÿÿÿÿ_1" xfId="2648"/>
    <cellStyle name="k_ÿÿÿÿÿ_1?b_x0011_Hyperlink_ÿÿÿÿÿ_2?b_x000C_Normal_®.d©y?_x000C_Normal_®Ò&#13;Normal_123569?b_x000F_Normal_5HUYIC~1?_x0011_Normal_903DK-2001?_x000C_" xfId="2649"/>
    <cellStyle name="k_ÿÿÿÿÿ_2" xfId="2650"/>
    <cellStyle name="k_ÿÿÿÿÿ_2?b_x000C_Normal_®.d©y?_x000C_Normal_®Ò&#13;Normal_123569?b_x000F_Normal_5HUYIC~1?_x0011_Normal_903DK-2001?_x000C_Normal_AD_x000B_Normal_Ado" xfId="2651"/>
    <cellStyle name="khanh" xfId="2652"/>
    <cellStyle name="Ledger 17 x 11 in" xfId="2653"/>
    <cellStyle name="Ledger 17 x 11 in 2" xfId="2654"/>
    <cellStyle name="Ledger 17 x 11 in 3" xfId="2655"/>
    <cellStyle name="Link Currency (0)" xfId="2656"/>
    <cellStyle name="Link Currency (2)" xfId="2657"/>
    <cellStyle name="Link Units (0)" xfId="2658"/>
    <cellStyle name="Link Units (1)" xfId="2659"/>
    <cellStyle name="Link Units (2)" xfId="2660"/>
    <cellStyle name="Linked Cell" xfId="2661"/>
    <cellStyle name="MAU" xfId="2662"/>
    <cellStyle name="Migliaia (0)_CALPREZZ" xfId="2663"/>
    <cellStyle name="Migliaia_ PESO ELETTR." xfId="2664"/>
    <cellStyle name="Millares [0]_2AV_M_M " xfId="2665"/>
    <cellStyle name="Millares_2AV_M_M " xfId="2666"/>
    <cellStyle name="Model" xfId="2667"/>
    <cellStyle name="moi" xfId="2668"/>
    <cellStyle name="Moneda [0]_2AV_M_M " xfId="2669"/>
    <cellStyle name="Moneda_2AV_M_M " xfId="2670"/>
    <cellStyle name="Monétaire [0]_TARIFFS DB" xfId="2671"/>
    <cellStyle name="Monétaire_TARIFFS DB" xfId="2672"/>
    <cellStyle name="n" xfId="2673"/>
    <cellStyle name="n_Bieu_KH_2010_Giao" xfId="2674"/>
    <cellStyle name="n_BieuKH.TM(T12.Gui TH)_2" xfId="2675"/>
    <cellStyle name="n_Book1" xfId="2676"/>
    <cellStyle name="n_Chi tieu su nghiep VHXH 2009 chi tiet_01_12qh3t12" xfId="2677"/>
    <cellStyle name="n_Chinhthuc_Dongquyen_NLN" xfId="2678"/>
    <cellStyle name="n_ChiTieu_KeHoach_2009" xfId="2679"/>
    <cellStyle name="n_Danhmuc_Quyhoach2009" xfId="2680"/>
    <cellStyle name="n_KH Von Dieu tra CBMT 2009ngay3t12qh4t12" xfId="2681"/>
    <cellStyle name="n_KH_2009_CongThuong" xfId="2682"/>
    <cellStyle name="n_KH_SXNL_2009" xfId="2683"/>
    <cellStyle name="n_KHXDCB_2009_ HDND" xfId="2684"/>
    <cellStyle name="n_Kiennghi_TTCP" xfId="2685"/>
    <cellStyle name="n_Kiennghi_TTCP_Bosung" xfId="2686"/>
    <cellStyle name="n_Kiennghi_TTCP_Bosung_lan2" xfId="2687"/>
    <cellStyle name="n_Kiennghibosungvon_TTCP_2" xfId="2688"/>
    <cellStyle name="n_Nhucauvon_2010" xfId="2689"/>
    <cellStyle name="n_Phanbotindung_2009_KH" xfId="2690"/>
    <cellStyle name="Neutral" xfId="2691"/>
    <cellStyle name="New" xfId="2692"/>
    <cellStyle name="New Times Roman" xfId="2693"/>
    <cellStyle name="New Times Roman 2" xfId="2694"/>
    <cellStyle name="no dec" xfId="2695"/>
    <cellStyle name="no dec 2" xfId="2696"/>
    <cellStyle name="ÑONVÒ" xfId="2697"/>
    <cellStyle name="Normal - Style1" xfId="2698"/>
    <cellStyle name="Normal - 유형1" xfId="2699"/>
    <cellStyle name="Normal 10" xfId="2700"/>
    <cellStyle name="Normal 10 10" xfId="2701"/>
    <cellStyle name="Normal 10 2" xfId="2702"/>
    <cellStyle name="Normal 10 2 2" xfId="2703"/>
    <cellStyle name="Normal 11" xfId="2704"/>
    <cellStyle name="Normal 11 2" xfId="2705"/>
    <cellStyle name="Normal 11 3" xfId="2706"/>
    <cellStyle name="Normal 12" xfId="2707"/>
    <cellStyle name="Normal 13" xfId="2708"/>
    <cellStyle name="Normal 13 2" xfId="2709"/>
    <cellStyle name="Normal 14" xfId="2710"/>
    <cellStyle name="Normal 14 2" xfId="2711"/>
    <cellStyle name="Normal 15" xfId="2712"/>
    <cellStyle name="Normal 15 2" xfId="2713"/>
    <cellStyle name="Normal 15_QUYET TOAN 2017 Dau tu cong - Tiep" xfId="2714"/>
    <cellStyle name="Normal 16" xfId="2715"/>
    <cellStyle name="Normal 16 2" xfId="2716"/>
    <cellStyle name="Normal 16 3" xfId="2717"/>
    <cellStyle name="Normal 17" xfId="2718"/>
    <cellStyle name="Normal 17 2" xfId="2719"/>
    <cellStyle name="Normal 17 3" xfId="2720"/>
    <cellStyle name="Normal 18" xfId="2721"/>
    <cellStyle name="Normal 18 2" xfId="2722"/>
    <cellStyle name="Normal 19" xfId="2723"/>
    <cellStyle name="Normal 19 2" xfId="2724"/>
    <cellStyle name="Normal 2" xfId="2725"/>
    <cellStyle name="Normal 2 10" xfId="2726"/>
    <cellStyle name="Normal 2 11" xfId="2727"/>
    <cellStyle name="Normal 2 12" xfId="2728"/>
    <cellStyle name="Normal 2 13" xfId="2729"/>
    <cellStyle name="Normal 2 14" xfId="2730"/>
    <cellStyle name="Normal 2 15" xfId="2731"/>
    <cellStyle name="Normal 2 16" xfId="2732"/>
    <cellStyle name="Normal 2 17" xfId="2733"/>
    <cellStyle name="Normal 2 18" xfId="2734"/>
    <cellStyle name="Normal 2 2" xfId="2735"/>
    <cellStyle name="Normal 2 2 2" xfId="2736"/>
    <cellStyle name="Normal 2 2 2 2" xfId="2737"/>
    <cellStyle name="Normal 2 2 3" xfId="2738"/>
    <cellStyle name="Normal 2 24" xfId="2739"/>
    <cellStyle name="Normal 2 25" xfId="2740"/>
    <cellStyle name="Normal 2 26" xfId="2741"/>
    <cellStyle name="Normal 2 27" xfId="2742"/>
    <cellStyle name="Normal 2 28" xfId="2743"/>
    <cellStyle name="Normal 2 29" xfId="2744"/>
    <cellStyle name="Normal 2 3" xfId="2745"/>
    <cellStyle name="Normal 2 3 2" xfId="2746"/>
    <cellStyle name="Normal 2 30" xfId="2747"/>
    <cellStyle name="Normal 2 31" xfId="2748"/>
    <cellStyle name="Normal 2 33" xfId="2749"/>
    <cellStyle name="Normal 2 34" xfId="2750"/>
    <cellStyle name="Normal 2 37" xfId="2751"/>
    <cellStyle name="Normal 2 4" xfId="2752"/>
    <cellStyle name="Normal 2 4 2" xfId="2753"/>
    <cellStyle name="Normal 2 4_Copy of T3-Bieu tinh hinh thanh toan DTC ky 13 theo TT82-2018" xfId="2754"/>
    <cellStyle name="Normal 2 5" xfId="2755"/>
    <cellStyle name="Normal 2 5 10" xfId="2756"/>
    <cellStyle name="Normal 2 6" xfId="2757"/>
    <cellStyle name="Normal 2 8" xfId="2758"/>
    <cellStyle name="Normal 2 9" xfId="2759"/>
    <cellStyle name="Normal 2_Bang bieu" xfId="2760"/>
    <cellStyle name="Normal 20" xfId="2761"/>
    <cellStyle name="Normal 20 2" xfId="2762"/>
    <cellStyle name="Normal 20 2 2" xfId="2763"/>
    <cellStyle name="Normal 20 2 3" xfId="2764"/>
    <cellStyle name="Normal 20 2 4" xfId="2765"/>
    <cellStyle name="Normal 20 3" xfId="2766"/>
    <cellStyle name="Normal 20 4" xfId="2767"/>
    <cellStyle name="Normal 21" xfId="2768"/>
    <cellStyle name="Normal 22" xfId="2769"/>
    <cellStyle name="Normal 23" xfId="2770"/>
    <cellStyle name="Normal 24" xfId="2771"/>
    <cellStyle name="Normal 25" xfId="2772"/>
    <cellStyle name="Normal 26" xfId="2773"/>
    <cellStyle name="Normal 27" xfId="2774"/>
    <cellStyle name="Normal 28" xfId="2775"/>
    <cellStyle name="Normal 29" xfId="2776"/>
    <cellStyle name="Normal 3" xfId="2777"/>
    <cellStyle name="Normal 3 10" xfId="2778"/>
    <cellStyle name="Normal 3 11" xfId="2779"/>
    <cellStyle name="Normal 3 12" xfId="2780"/>
    <cellStyle name="Normal 3 13" xfId="2781"/>
    <cellStyle name="Normal 3 14" xfId="2782"/>
    <cellStyle name="Normal 3 15" xfId="2783"/>
    <cellStyle name="Normal 3 16" xfId="2784"/>
    <cellStyle name="Normal 3 17" xfId="2785"/>
    <cellStyle name="Normal 3 2" xfId="2786"/>
    <cellStyle name="Normal 3 2 2" xfId="2787"/>
    <cellStyle name="Normal 3 2_QUYET TOAN 2017 Dau tu cong - Tiep" xfId="2788"/>
    <cellStyle name="Normal 3 3" xfId="2789"/>
    <cellStyle name="Normal 3 4" xfId="2790"/>
    <cellStyle name="Normal 3 5" xfId="2791"/>
    <cellStyle name="Normal 3 6" xfId="2792"/>
    <cellStyle name="Normal 3 7" xfId="2793"/>
    <cellStyle name="Normal 3 8" xfId="2794"/>
    <cellStyle name="Normal 3 9" xfId="2795"/>
    <cellStyle name="Normal 3_QUYET TOAN 2017 Dau tu cong - Tiep" xfId="2796"/>
    <cellStyle name="Normal 30" xfId="2797"/>
    <cellStyle name="Normal 31" xfId="2798"/>
    <cellStyle name="Normal 31 2" xfId="2799"/>
    <cellStyle name="Normal 32" xfId="2800"/>
    <cellStyle name="Normal 33" xfId="2801"/>
    <cellStyle name="Normal 34" xfId="2802"/>
    <cellStyle name="Normal 35" xfId="2803"/>
    <cellStyle name="Normal 36" xfId="2804"/>
    <cellStyle name="Normal 37" xfId="2805"/>
    <cellStyle name="Normal 38" xfId="2806"/>
    <cellStyle name="Normal 39" xfId="2807"/>
    <cellStyle name="Normal 4" xfId="2808"/>
    <cellStyle name="Normal 4 2" xfId="2809"/>
    <cellStyle name="Normal 4 2 2" xfId="2810"/>
    <cellStyle name="Normal 4 2 3" xfId="2811"/>
    <cellStyle name="Normal 4 2_QUYET TOAN 2017 Dau tu cong - Tiep" xfId="2812"/>
    <cellStyle name="Normal 4 3" xfId="2813"/>
    <cellStyle name="Normal 4 4" xfId="2814"/>
    <cellStyle name="Normal 4 5" xfId="2815"/>
    <cellStyle name="Normal 4 6" xfId="2816"/>
    <cellStyle name="Normal 4 7" xfId="2817"/>
    <cellStyle name="Normal 4 8" xfId="2818"/>
    <cellStyle name="Normal 4_31.3BIEU QUYET TOAN NGAN SACH 2017" xfId="2819"/>
    <cellStyle name="Normal 40" xfId="2820"/>
    <cellStyle name="Normal 41" xfId="2821"/>
    <cellStyle name="Normal 42" xfId="2822"/>
    <cellStyle name="Normal 43" xfId="2823"/>
    <cellStyle name="Normal 44" xfId="2824"/>
    <cellStyle name="Normal 45" xfId="2825"/>
    <cellStyle name="Normal 46" xfId="2826"/>
    <cellStyle name="Normal 47" xfId="2827"/>
    <cellStyle name="Normal 48" xfId="2828"/>
    <cellStyle name="Normal 49" xfId="2829"/>
    <cellStyle name="Normal 5" xfId="2830"/>
    <cellStyle name="Normal 5 2" xfId="2831"/>
    <cellStyle name="Normal 5 3" xfId="2832"/>
    <cellStyle name="Normal 5 4" xfId="2833"/>
    <cellStyle name="Normal 5 5" xfId="2834"/>
    <cellStyle name="Normal 5 6" xfId="2835"/>
    <cellStyle name="Normal 5 7" xfId="2836"/>
    <cellStyle name="Normal 5 8" xfId="2837"/>
    <cellStyle name="Normal 50" xfId="2838"/>
    <cellStyle name="Normal 51" xfId="2839"/>
    <cellStyle name="Normal 52" xfId="2840"/>
    <cellStyle name="Normal 53" xfId="2841"/>
    <cellStyle name="Normal 54" xfId="2842"/>
    <cellStyle name="Normal 55" xfId="2843"/>
    <cellStyle name="Normal 56" xfId="2844"/>
    <cellStyle name="Normal 57" xfId="2845"/>
    <cellStyle name="Normal 58" xfId="2846"/>
    <cellStyle name="Normal 59" xfId="2847"/>
    <cellStyle name="Normal 6" xfId="2848"/>
    <cellStyle name="Normal 6 2" xfId="2849"/>
    <cellStyle name="Normal 6 3" xfId="2850"/>
    <cellStyle name="Normal 6 4" xfId="2851"/>
    <cellStyle name="Normal 6 5" xfId="2852"/>
    <cellStyle name="Normal 6 6" xfId="2853"/>
    <cellStyle name="Normal 6 7" xfId="2854"/>
    <cellStyle name="Normal 6 8" xfId="2855"/>
    <cellStyle name="Normal 60" xfId="2856"/>
    <cellStyle name="Normal 61" xfId="2857"/>
    <cellStyle name="Normal 62" xfId="2858"/>
    <cellStyle name="Normal 63" xfId="2859"/>
    <cellStyle name="Normal 64" xfId="2860"/>
    <cellStyle name="Normal 65" xfId="2861"/>
    <cellStyle name="Normal 66" xfId="2862"/>
    <cellStyle name="Normal 67" xfId="2863"/>
    <cellStyle name="Normal 68" xfId="2864"/>
    <cellStyle name="Normal 68 10" xfId="2865"/>
    <cellStyle name="Normal 69" xfId="2866"/>
    <cellStyle name="Normal 69 2" xfId="2867"/>
    <cellStyle name="Normal 69 3" xfId="2868"/>
    <cellStyle name="Normal 69 4" xfId="2869"/>
    <cellStyle name="Normal 7" xfId="2870"/>
    <cellStyle name="Normal 70" xfId="2871"/>
    <cellStyle name="Normal 71" xfId="2872"/>
    <cellStyle name="Normal 74" xfId="2873"/>
    <cellStyle name="Normal 8" xfId="2874"/>
    <cellStyle name="Normal 9" xfId="2875"/>
    <cellStyle name="Normal 9 2" xfId="2876"/>
    <cellStyle name="Normal 9_BieuHD2016-2020Tquang2(OK)" xfId="2877"/>
    <cellStyle name="Normal_Bao cao thu NSNN" xfId="2878"/>
    <cellStyle name="Normal_PL 8-Bieu 01 chinh thuc" xfId="2879"/>
    <cellStyle name="Normal_Qtoan 2009 2" xfId="2880"/>
    <cellStyle name="Normal_THKP Phong GD Moc Chau 17-07" xfId="2881"/>
    <cellStyle name="Normal1" xfId="2882"/>
    <cellStyle name="Normale_ PESO ELETTR." xfId="2883"/>
    <cellStyle name="Normalny_Cennik obowi?zuje od 06-08-2001 r (1)" xfId="2884"/>
    <cellStyle name="Note" xfId="2885"/>
    <cellStyle name="Ò&#13;Normal_123569?b_x000F_Normal_5HUYIC~1?_x0011_Normal_903DK-2001?_x000C_Normal_AD_x000B_Normal_Adot?&#13;Normal_ADAdot?&#13;Normal_ADOT~1ⓨ␐_x000B_?ÿ?_x0012_?ÿ?adot1?_x000B_Normal_ATEP?_x0012_Normal_Bao 㐬⎼o NCC?_x000B_Normal_bavi?&#13;" xfId="2886"/>
    <cellStyle name="Œ…‹æ_Ø‚è [0.00]_ÆÂ__" xfId="2887"/>
    <cellStyle name="Œ…‹æØ‚è [0.00]_laroux" xfId="2888"/>
    <cellStyle name="Œ…‹æØ‚è_laroux" xfId="2889"/>
    <cellStyle name="oft Excel]&#13;&#10;Comment=open=/f ‚ðw’è‚·‚é‚ÆAƒ†[ƒU[’è‹`ŠÖ”‚ðŠÖ”“\‚è•t‚¯‚Ìˆê——‚É“o˜^‚·‚é‚±‚Æ‚ª‚Å‚«‚Ü‚·B&#13;&#10;Maximized" xfId="2890"/>
    <cellStyle name="oft Excel]&#13;&#10;Comment=open=/f ‚ðZw’è‚·‚é‚ÆAƒ†[ƒU[’è‹`ŠÖ”‚ðŠÖ”“\‚è•t‚¯‚Ìˆê——‚É“o˜^‚·‚é‚±‚Æ‚ª‚Å‚«‚Ü‚·B&#13;&#10;Maximized" xfId="2891"/>
    <cellStyle name="oft Excel]&#13;&#10;Comment=open=/f ‚ðŽw’è‚·‚é‚ÆAƒ†[ƒU[’è‹`ŠÖ”‚ðŠÖ”“\‚è•t‚¯‚Ìˆê——‚É“o˜^‚·‚é‚±‚Æ‚ª‚Å‚«‚Ü‚·B&#13;&#10;Maximized" xfId="2892"/>
    <cellStyle name="oft Excel]&#13;&#10;Comment=The open=/f lines load custom functions into the Paste Function list.&#13;&#10;Maximized=2&#13;&#10;Basics=1&#13;&#10;A" xfId="2893"/>
    <cellStyle name="oft Excel]&#13;&#10;Comment=The open=/f lines load custom functions into the Paste Function list.&#13;&#10;Maximized=3&#13;&#10;Basics=1&#13;&#10;A" xfId="2894"/>
    <cellStyle name="omma [0]_Mktg Prog" xfId="2895"/>
    <cellStyle name="ormal_Sheet1_1" xfId="2896"/>
    <cellStyle name="Output" xfId="2897"/>
    <cellStyle name="per.style" xfId="2898"/>
    <cellStyle name="Percent" xfId="2899"/>
    <cellStyle name="Percent [0]" xfId="2900"/>
    <cellStyle name="Percent [00]" xfId="2901"/>
    <cellStyle name="Percent [2]" xfId="2902"/>
    <cellStyle name="Percent 2" xfId="2903"/>
    <cellStyle name="Percent 3" xfId="2904"/>
    <cellStyle name="Percent 3 2" xfId="2905"/>
    <cellStyle name="Percent 4" xfId="2906"/>
    <cellStyle name="PrePop Currency (0)" xfId="2907"/>
    <cellStyle name="PrePop Currency (2)" xfId="2908"/>
    <cellStyle name="PrePop Units (0)" xfId="2909"/>
    <cellStyle name="PrePop Units (1)" xfId="2910"/>
    <cellStyle name="PrePop Units (2)" xfId="2911"/>
    <cellStyle name="pricing" xfId="2912"/>
    <cellStyle name="PSChar" xfId="2913"/>
    <cellStyle name="PSHeading" xfId="2914"/>
    <cellStyle name="regstoresfromspecstores" xfId="2915"/>
    <cellStyle name="RevList" xfId="2916"/>
    <cellStyle name="rlink_tiªn l­în_x001B_Hyperlink_TONG HOP KINH PHI?_x000F_Hyperlink_ÿÿÿÿÿ?b_x0011_Hyperlink_ÿÿÿÿÿ_1?b_x0011_Hyperlink_ÿÿÿÿÿ_2" xfId="2917"/>
    <cellStyle name="rmal_ADAdot" xfId="2918"/>
    <cellStyle name="S—_x0008_" xfId="2919"/>
    <cellStyle name="s]&#13;&#10;spooler=yes&#13;&#10;load=&#13;&#10;Beep=yes&#13;&#10;NullPort=None&#13;&#10;BorderWidth=3&#13;&#10;CursorBlinkRate=1200&#13;&#10;DoubleClickSpeed=452&#13;&#10;Programs=co" xfId="2920"/>
    <cellStyle name="SAPBEXaggData" xfId="2921"/>
    <cellStyle name="SAPBEXaggDataEmph" xfId="2922"/>
    <cellStyle name="SAPBEXaggItem" xfId="2923"/>
    <cellStyle name="SAPBEXchaText" xfId="2924"/>
    <cellStyle name="SAPBEXexcBad7" xfId="2925"/>
    <cellStyle name="SAPBEXexcBad8" xfId="2926"/>
    <cellStyle name="SAPBEXexcBad9" xfId="2927"/>
    <cellStyle name="SAPBEXexcCritical4" xfId="2928"/>
    <cellStyle name="SAPBEXexcCritical5" xfId="2929"/>
    <cellStyle name="SAPBEXexcCritical6" xfId="2930"/>
    <cellStyle name="SAPBEXexcGood1" xfId="2931"/>
    <cellStyle name="SAPBEXexcGood2" xfId="2932"/>
    <cellStyle name="SAPBEXexcGood3" xfId="2933"/>
    <cellStyle name="SAPBEXfilterDrill" xfId="2934"/>
    <cellStyle name="SAPBEXfilterItem" xfId="2935"/>
    <cellStyle name="SAPBEXfilterText" xfId="2936"/>
    <cellStyle name="SAPBEXformats" xfId="2937"/>
    <cellStyle name="SAPBEXheaderItem" xfId="2938"/>
    <cellStyle name="SAPBEXheaderText" xfId="2939"/>
    <cellStyle name="SAPBEXresData" xfId="2940"/>
    <cellStyle name="SAPBEXresDataEmph" xfId="2941"/>
    <cellStyle name="SAPBEXresItem" xfId="2942"/>
    <cellStyle name="SAPBEXstdData" xfId="2943"/>
    <cellStyle name="SAPBEXstdDataEmph" xfId="2944"/>
    <cellStyle name="SAPBEXstdItem" xfId="2945"/>
    <cellStyle name="SAPBEXtitle" xfId="2946"/>
    <cellStyle name="SAPBEXundefined" xfId="2947"/>
    <cellStyle name="_x0001_sç?" xfId="2948"/>
    <cellStyle name="_x0001_sç??_? ?A?t?t?.?" xfId="2949"/>
    <cellStyle name="serJet 1200 Series PCL 6" xfId="2950"/>
    <cellStyle name="SHADEDSTORES" xfId="2951"/>
    <cellStyle name="Sheet Title" xfId="2952"/>
    <cellStyle name="Siêu nối kết_Book1" xfId="2953"/>
    <cellStyle name="specstores" xfId="2954"/>
    <cellStyle name="Standard_NEGS" xfId="2955"/>
    <cellStyle name="STTDG" xfId="2956"/>
    <cellStyle name="style" xfId="2957"/>
    <cellStyle name="Style 1" xfId="2958"/>
    <cellStyle name="Style 10" xfId="2959"/>
    <cellStyle name="Style 11" xfId="2960"/>
    <cellStyle name="Style 12" xfId="2961"/>
    <cellStyle name="Style 13" xfId="2962"/>
    <cellStyle name="Style 14" xfId="2963"/>
    <cellStyle name="Style 15" xfId="2964"/>
    <cellStyle name="Style 16" xfId="2965"/>
    <cellStyle name="Style 17" xfId="2966"/>
    <cellStyle name="Style 18" xfId="2967"/>
    <cellStyle name="Style 19" xfId="2968"/>
    <cellStyle name="Style 2" xfId="2969"/>
    <cellStyle name="Style 20" xfId="2970"/>
    <cellStyle name="Style 21" xfId="2971"/>
    <cellStyle name="Style 22" xfId="2972"/>
    <cellStyle name="Style 23" xfId="2973"/>
    <cellStyle name="Style 24" xfId="2974"/>
    <cellStyle name="Style 25" xfId="2975"/>
    <cellStyle name="Style 26" xfId="2976"/>
    <cellStyle name="Style 27" xfId="2977"/>
    <cellStyle name="Style 28" xfId="2978"/>
    <cellStyle name="Style 29" xfId="2979"/>
    <cellStyle name="Style 3" xfId="2980"/>
    <cellStyle name="Style 30" xfId="2981"/>
    <cellStyle name="Style 31" xfId="2982"/>
    <cellStyle name="Style 32" xfId="2983"/>
    <cellStyle name="Style 33" xfId="2984"/>
    <cellStyle name="Style 34" xfId="2985"/>
    <cellStyle name="Style 35" xfId="2986"/>
    <cellStyle name="Style 36" xfId="2987"/>
    <cellStyle name="Style 37" xfId="2988"/>
    <cellStyle name="Style 38" xfId="2989"/>
    <cellStyle name="Style 4" xfId="2990"/>
    <cellStyle name="Style 5" xfId="2991"/>
    <cellStyle name="Style 6" xfId="2992"/>
    <cellStyle name="Style 7" xfId="2993"/>
    <cellStyle name="Style 8" xfId="2994"/>
    <cellStyle name="Style 9" xfId="2995"/>
    <cellStyle name="style_1" xfId="2996"/>
    <cellStyle name="subhead" xfId="2997"/>
    <cellStyle name="Subtotal" xfId="2998"/>
    <cellStyle name="T" xfId="2999"/>
    <cellStyle name="T 2" xfId="3000"/>
    <cellStyle name="T_03 - DT - GPMB" xfId="3001"/>
    <cellStyle name="T_03 - DT - GPMB_TMDTluong_540000(1)" xfId="3002"/>
    <cellStyle name="T_3P-100KVA Ngan hang Cong Thuong" xfId="3003"/>
    <cellStyle name="T_6_Dieuchinh_6thang_2010_Totrinh_HDND" xfId="3004"/>
    <cellStyle name="T_BCXDCB_6thang_2010_BTV" xfId="3005"/>
    <cellStyle name="T_BieuKH.TM(T12.Gui TH)_2" xfId="3006"/>
    <cellStyle name="T_BieuKH.TM(T12.Gui TH)_2_6_Dieuchinh_6thang_2010_Totrinh_HDND" xfId="3007"/>
    <cellStyle name="T_BieuKH.TM(T12.Gui TH)_2_BCXDCB_6thang_2010_BTV" xfId="3008"/>
    <cellStyle name="T_BieuKH.TM(T12.Gui TH)_2_Bieu Bo sung_GuichiThu" xfId="3009"/>
    <cellStyle name="T_BieuKH.TM(T12.Gui TH)_2_KH_DTXD_2011_KTNN_Ha" xfId="3010"/>
    <cellStyle name="T_BieuKH.TM(T12.Gui TH)_2_KH_DTXD_2011_KTNN_Ha1" xfId="3011"/>
    <cellStyle name="T_BieuKH.TM(T12.Gui TH)_2_Nhucauvon_2010" xfId="3012"/>
    <cellStyle name="T_BieuKH.TM(T12.Gui TH)_2_Nhucauvon_2010_6_BCXDCB_6thang_2010_BCH" xfId="3013"/>
    <cellStyle name="T_Book1" xfId="3014"/>
    <cellStyle name="T_Book1_1" xfId="3015"/>
    <cellStyle name="T_Book1_1_Book1" xfId="3016"/>
    <cellStyle name="T_Book1_1_Book1_1" xfId="3017"/>
    <cellStyle name="T_Book1_1_Book1_1_Gia goi thau KS, TKBVTC sua Ngay 12-01" xfId="3018"/>
    <cellStyle name="T_Book1_1_Book1_Book1" xfId="3019"/>
    <cellStyle name="T_Book1_1_Book1_Book1_Gia goi thau KS, TKBVTC sua Ngay 12-01" xfId="3020"/>
    <cellStyle name="T_Book1_1_Book1_Book2" xfId="3021"/>
    <cellStyle name="T_Book1_1_Book1_thanh hoa lap du an 062008" xfId="3022"/>
    <cellStyle name="T_Book1_1_Book1_TMDTluong_540000(1)" xfId="3023"/>
    <cellStyle name="T_Book1_1_Book2" xfId="3024"/>
    <cellStyle name="T_Book1_1_Du toan khao sat don 553 (da sua 16.5.08)" xfId="3025"/>
    <cellStyle name="T_Book1_1_Du toan TL702D2" xfId="3026"/>
    <cellStyle name="T_Book1_1_Du toan TL702D2_Book1" xfId="3027"/>
    <cellStyle name="T_Book1_1_Du toan TL702D2_Book2" xfId="3028"/>
    <cellStyle name="T_Book1_1_Du toan TL702D2_thanh hoa lap du an 062008" xfId="3029"/>
    <cellStyle name="T_Book1_1_Du toan TL702D2_TMDTluong_540000(1)" xfId="3030"/>
    <cellStyle name="T_Book1_1_Khoi luong cac hang muc chi tiet-702" xfId="3031"/>
    <cellStyle name="T_Book1_1_Khoi luong cac hang muc chi tiet-702_Book1" xfId="3032"/>
    <cellStyle name="T_Book1_1_Khoi luong cac hang muc chi tiet-702_Book2" xfId="3033"/>
    <cellStyle name="T_Book1_1_Khoi luong cac hang muc chi tiet-702_thanh hoa lap du an 062008" xfId="3034"/>
    <cellStyle name="T_Book1_1_Khoi luong cac hang muc chi tiet-702_TMDTluong_540000(1)" xfId="3035"/>
    <cellStyle name="T_Book1_1_Nhap" xfId="3036"/>
    <cellStyle name="T_Book1_1_Phu luc KS" xfId="3037"/>
    <cellStyle name="T_Book1_1_Sheet1" xfId="3038"/>
    <cellStyle name="T_Book1_1_thanh hoa lap du an 062008" xfId="3039"/>
    <cellStyle name="T_Book1_1_TMDTluong_540000(1)" xfId="3040"/>
    <cellStyle name="T_Book1_2" xfId="3041"/>
    <cellStyle name="T_Book1_2_Book1" xfId="3042"/>
    <cellStyle name="T_Book1_2_Book1_1" xfId="3043"/>
    <cellStyle name="T_Book1_2_Book1_Gia goi thau KS, TKBVTC sua Ngay 12-01" xfId="3044"/>
    <cellStyle name="T_Book1_2_Book2" xfId="3045"/>
    <cellStyle name="T_Book1_2_Du toan khao sat don 553 (da sua 16.5.08)" xfId="3046"/>
    <cellStyle name="T_Book1_2_Nhap" xfId="3047"/>
    <cellStyle name="T_Book1_2_Phu luc KS" xfId="3048"/>
    <cellStyle name="T_Book1_2_thanh hoa lap du an 062008" xfId="3049"/>
    <cellStyle name="T_Book1_2_TMDTluong_540000(1)" xfId="3050"/>
    <cellStyle name="T_Book1_3" xfId="3051"/>
    <cellStyle name="T_Book1_3_Gia goi thau KS, TKBVTC sua Ngay 12-01" xfId="3052"/>
    <cellStyle name="T_Book1_4" xfId="3053"/>
    <cellStyle name="T_Book1_Book1" xfId="3054"/>
    <cellStyle name="T_Book1_Book1_1" xfId="3055"/>
    <cellStyle name="T_Book1_Book1_1_Gia goi thau KS, TKBVTC sua Ngay 12-01" xfId="3056"/>
    <cellStyle name="T_Book1_Book1_1_Nhap" xfId="3057"/>
    <cellStyle name="T_Book1_Book1_1_thanh hoa lap du an 062008" xfId="3058"/>
    <cellStyle name="T_Book1_Book1_2" xfId="3059"/>
    <cellStyle name="T_Book1_Book1_Book1" xfId="3060"/>
    <cellStyle name="T_Book1_Book1_Book2" xfId="3061"/>
    <cellStyle name="T_Book1_Book1_Du toan khao sat don 553 (da sua 16.5.08)" xfId="3062"/>
    <cellStyle name="T_Book1_Book1_Nhap" xfId="3063"/>
    <cellStyle name="T_Book1_Book1_Phu luc KS" xfId="3064"/>
    <cellStyle name="T_Book1_Book1_thanh hoa lap du an 062008" xfId="3065"/>
    <cellStyle name="T_Book1_Book1_TMDTluong_540000(1)" xfId="3066"/>
    <cellStyle name="T_Book1_Book2" xfId="3067"/>
    <cellStyle name="T_Book1_caucong" xfId="3068"/>
    <cellStyle name="T_Book1_caulan1" xfId="3069"/>
    <cellStyle name="T_Book1_chitiet3" xfId="3070"/>
    <cellStyle name="T_Book1_dexuat7-9" xfId="3071"/>
    <cellStyle name="T_Book1_Du toan khao sat don 553 (da sua 16.5.08)" xfId="3072"/>
    <cellStyle name="T_Book1_Du toan KS, TK Don Po Ma - Lang Son (Ban QLDA 47)" xfId="3073"/>
    <cellStyle name="T_Book1_Du toan KS, TK Don Po Ma - Lang Son (Ban QLDA 47)sua15-9" xfId="3074"/>
    <cellStyle name="T_Book1_KH trien khai von 2006-2010  &amp; 2007 theo QD313 _13.6.07" xfId="3075"/>
    <cellStyle name="T_Book1_Khoi luong cac hang muc chi tiet-702" xfId="3076"/>
    <cellStyle name="T_Book1_Khoi luong cac hang muc chi tiet-702_TMDTluong_540000(1)" xfId="3077"/>
    <cellStyle name="T_Book1_Nhap" xfId="3078"/>
    <cellStyle name="T_Book1_Phu luc KS" xfId="3079"/>
    <cellStyle name="T_Book1_QD-TD Moc 54 - 44 Lang Son" xfId="3080"/>
    <cellStyle name="T_Book1_QD-TD Moc 54 - 44 Lang Son(sua)" xfId="3081"/>
    <cellStyle name="T_Book1_Sheet1" xfId="3082"/>
    <cellStyle name="T_Book1_TH in" xfId="3083"/>
    <cellStyle name="T_Book1_thanh hoa lap du an 062008" xfId="3084"/>
    <cellStyle name="T_Book1_THKLTL702" xfId="3085"/>
    <cellStyle name="T_Book1_THKLTL702_TMDTluong_540000(1)" xfId="3086"/>
    <cellStyle name="T_Book1_TMDTluong_540000(1)" xfId="3087"/>
    <cellStyle name="T_Book2" xfId="3088"/>
    <cellStyle name="T_Book3" xfId="3089"/>
    <cellStyle name="T_Cau Phu Phuong" xfId="3090"/>
    <cellStyle name="T_CDKT" xfId="3091"/>
    <cellStyle name="T_CDKT_Book1" xfId="3092"/>
    <cellStyle name="T_CDKT_Book2" xfId="3093"/>
    <cellStyle name="T_CDKT_thanh hoa lap du an 062008" xfId="3094"/>
    <cellStyle name="T_CDKT_TMDTluong_540000(1)" xfId="3095"/>
    <cellStyle name="T_Chi tieu su nghiep VHXH 2009 chi tiet_01_12qh3t12" xfId="3096"/>
    <cellStyle name="T_Chi tieu su nghiep VHXH 2009 chi tiet_01_12qh3t12_6_Dieuchinh_6thang_2010_Totrinh_HDND" xfId="3097"/>
    <cellStyle name="T_Chi tieu su nghiep VHXH 2009 chi tiet_01_12qh3t12_BCXDCB_6thang_2010_BTV" xfId="3098"/>
    <cellStyle name="T_Chi tieu su nghiep VHXH 2009 chi tiet_01_12qh3t12_Bieu Bo sung_GuichiThu" xfId="3099"/>
    <cellStyle name="T_Chi tieu su nghiep VHXH 2009 chi tiet_01_12qh3t12_KH_DTXD_2011_KTNN_Ha" xfId="3100"/>
    <cellStyle name="T_Chi tieu su nghiep VHXH 2009 chi tiet_01_12qh3t12_KH_DTXD_2011_KTNN_Ha1" xfId="3101"/>
    <cellStyle name="T_Chi tieu su nghiep VHXH 2009 chi tiet_01_12qh3t12_Nhucauvon_2010" xfId="3102"/>
    <cellStyle name="T_Chi tieu su nghiep VHXH 2009 chi tiet_01_12qh3t12_Nhucauvon_2010_6_BCXDCB_6thang_2010_BCH" xfId="3103"/>
    <cellStyle name="T_Chinhthuc_Dongquyen_NLN" xfId="3104"/>
    <cellStyle name="T_Chinhthuc_Dongquyen_NLN_6_Dieuchinh_6thang_2010_Totrinh_HDND" xfId="3105"/>
    <cellStyle name="T_Chinhthuc_Dongquyen_NLN_BCXDCB_6thang_2010_BTV" xfId="3106"/>
    <cellStyle name="T_Chinhthuc_Dongquyen_NLN_Bieu Bo sung_GuichiThu" xfId="3107"/>
    <cellStyle name="T_Chinhthuc_Dongquyen_NLN_KH_DTXD_2011_KTNN_Ha" xfId="3108"/>
    <cellStyle name="T_Chinhthuc_Dongquyen_NLN_KH_DTXD_2011_KTNN_Ha1" xfId="3109"/>
    <cellStyle name="T_Chinhthuc_Dongquyen_NLN_Nhucauvon_2010" xfId="3110"/>
    <cellStyle name="T_Chinhthuc_Dongquyen_NLN_Nhucauvon_2010_6_BCXDCB_6thang_2010_BCH" xfId="3111"/>
    <cellStyle name="T_ChiTieu_KeHoach_2009" xfId="3112"/>
    <cellStyle name="T_ChiTieu_KeHoach_2009_6_Dieuchinh_6thang_2010_Totrinh_HDND" xfId="3113"/>
    <cellStyle name="T_ChiTieu_KeHoach_2009_BCXDCB_6thang_2010_BTV" xfId="3114"/>
    <cellStyle name="T_ChiTieu_KeHoach_2009_Bieu Bo sung_GuichiThu" xfId="3115"/>
    <cellStyle name="T_ChiTieu_KeHoach_2009_KH_DTXD_2011_KTNN_Ha" xfId="3116"/>
    <cellStyle name="T_ChiTieu_KeHoach_2009_KH_DTXD_2011_KTNN_Ha1" xfId="3117"/>
    <cellStyle name="T_ChiTieu_KeHoach_2009_Nhucauvon_2010" xfId="3118"/>
    <cellStyle name="T_ChiTieu_KeHoach_2009_Nhucauvon_2010_6_BCXDCB_6thang_2010_BCH" xfId="3119"/>
    <cellStyle name="T_Danhmuc_Quyhoach2009" xfId="3120"/>
    <cellStyle name="T_Danhmuc_Quyhoach2009_6_Dieuchinh_6thang_2010_Totrinh_HDND" xfId="3121"/>
    <cellStyle name="T_Danhmuc_Quyhoach2009_BCXDCB_6thang_2010_BTV" xfId="3122"/>
    <cellStyle name="T_Danhmuc_Quyhoach2009_Bieu Bo sung_GuichiThu" xfId="3123"/>
    <cellStyle name="T_Danhmuc_Quyhoach2009_KH_DTXD_2011_KTNN_Ha" xfId="3124"/>
    <cellStyle name="T_Danhmuc_Quyhoach2009_KH_DTXD_2011_KTNN_Ha1" xfId="3125"/>
    <cellStyle name="T_Danhmuc_Quyhoach2009_Nhucauvon_2010" xfId="3126"/>
    <cellStyle name="T_Danhmuc_Quyhoach2009_Nhucauvon_2010_6_BCXDCB_6thang_2010_BCH" xfId="3127"/>
    <cellStyle name="T_denbu" xfId="3128"/>
    <cellStyle name="T_denbu_thanh hoa lap du an 062008" xfId="3129"/>
    <cellStyle name="T_DT ha the cum dan cu Huynh Thi Thuy Tien" xfId="3130"/>
    <cellStyle name="T_DT NRTT va TBA 3P-320KVA khu dan cu phuong 3" xfId="3131"/>
    <cellStyle name="T_DT TBA 3P-320KVA DC" xfId="3132"/>
    <cellStyle name="T_dtTL598G1." xfId="3133"/>
    <cellStyle name="T_dtTL598G1._TMDTluong_540000(1)" xfId="3134"/>
    <cellStyle name="T_Du toan NR 22KV-TBA 3P-100KVA Ngan hang Cong Thuong" xfId="3135"/>
    <cellStyle name="T_HC HTDL.Kenh Nhat" xfId="3136"/>
    <cellStyle name="T_HT CSCC cho Giong Rang DC" xfId="3137"/>
    <cellStyle name="T_KH trien khai von 2006-2010  &amp; 2007 theo QD313 _13.6.07" xfId="3138"/>
    <cellStyle name="T_KH Von Dieu tra CBMT 2009ngay3t12qh4t12" xfId="3139"/>
    <cellStyle name="T_KH Von Dieu tra CBMT 2009ngay3t12qh4t12_6_Dieuchinh_6thang_2010_Totrinh_HDND" xfId="3140"/>
    <cellStyle name="T_KH Von Dieu tra CBMT 2009ngay3t12qh4t12_BCXDCB_6thang_2010_BTV" xfId="3141"/>
    <cellStyle name="T_KH Von Dieu tra CBMT 2009ngay3t12qh4t12_Bieu Bo sung_GuichiThu" xfId="3142"/>
    <cellStyle name="T_KH Von Dieu tra CBMT 2009ngay3t12qh4t12_KH_DTXD_2011_KTNN_Ha" xfId="3143"/>
    <cellStyle name="T_KH Von Dieu tra CBMT 2009ngay3t12qh4t12_KH_DTXD_2011_KTNN_Ha1" xfId="3144"/>
    <cellStyle name="T_KH Von Dieu tra CBMT 2009ngay3t12qh4t12_Nhucauvon_2010" xfId="3145"/>
    <cellStyle name="T_KH Von Dieu tra CBMT 2009ngay3t12qh4t12_Nhucauvon_2010_6_BCXDCB_6thang_2010_BCH" xfId="3146"/>
    <cellStyle name="T_KH_2009_CongThuong" xfId="3147"/>
    <cellStyle name="T_KH_2009_CongThuong_6_Dieuchinh_6thang_2010_Totrinh_HDND" xfId="3148"/>
    <cellStyle name="T_KH_2009_CongThuong_BCXDCB_6thang_2010_BTV" xfId="3149"/>
    <cellStyle name="T_KH_2009_CongThuong_Bieu Bo sung_GuichiThu" xfId="3150"/>
    <cellStyle name="T_KH_2009_CongThuong_KH_DTXD_2011_KTNN_Ha" xfId="3151"/>
    <cellStyle name="T_KH_2009_CongThuong_KH_DTXD_2011_KTNN_Ha1" xfId="3152"/>
    <cellStyle name="T_KH_2009_CongThuong_Nhucauvon_2010" xfId="3153"/>
    <cellStyle name="T_KH_2009_CongThuong_Nhucauvon_2010_6_BCXDCB_6thang_2010_BCH" xfId="3154"/>
    <cellStyle name="T_KH_SXNL_2009" xfId="3155"/>
    <cellStyle name="T_KH_SXNL_2009_6_Dieuchinh_6thang_2010_Totrinh_HDND" xfId="3156"/>
    <cellStyle name="T_KH_SXNL_2009_BCXDCB_6thang_2010_BTV" xfId="3157"/>
    <cellStyle name="T_KH_SXNL_2009_Bieu Bo sung_GuichiThu" xfId="3158"/>
    <cellStyle name="T_KH_SXNL_2009_KH_DTXD_2011_KTNN_Ha" xfId="3159"/>
    <cellStyle name="T_KH_SXNL_2009_KH_DTXD_2011_KTNN_Ha1" xfId="3160"/>
    <cellStyle name="T_KH_SXNL_2009_Nhucauvon_2010" xfId="3161"/>
    <cellStyle name="T_KH_SXNL_2009_Nhucauvon_2010_6_BCXDCB_6thang_2010_BCH" xfId="3162"/>
    <cellStyle name="T_Khao satD1" xfId="3163"/>
    <cellStyle name="T_Khao satD1_Book1" xfId="3164"/>
    <cellStyle name="T_Khao satD1_Book2" xfId="3165"/>
    <cellStyle name="T_Khao satD1_thanh hoa lap du an 062008" xfId="3166"/>
    <cellStyle name="T_Khao satD1_TMDTluong_540000(1)" xfId="3167"/>
    <cellStyle name="T_Khoi luong cac hang muc chi tiet-702" xfId="3168"/>
    <cellStyle name="T_Khoi luong cac hang muc chi tiet-702_Book1" xfId="3169"/>
    <cellStyle name="T_Khoi luong cac hang muc chi tiet-702_Book2" xfId="3170"/>
    <cellStyle name="T_Khoi luong cac hang muc chi tiet-702_thanh hoa lap du an 062008" xfId="3171"/>
    <cellStyle name="T_Khoi luong cac hang muc chi tiet-702_TMDTluong_540000(1)" xfId="3172"/>
    <cellStyle name="T_KHXDCB_2009_ HDND" xfId="3173"/>
    <cellStyle name="T_KHXDCB_2009_ HDND_6_Dieuchinh_6thang_2010_Totrinh_HDND" xfId="3174"/>
    <cellStyle name="T_KHXDCB_2009_ HDND_BCXDCB_6thang_2010_BTV" xfId="3175"/>
    <cellStyle name="T_KHXDCB_2009_ HDND_Bieu Bo sung_GuichiThu" xfId="3176"/>
    <cellStyle name="T_KHXDCB_2009_ HDND_KH_DTXD_2011_KTNN_Ha" xfId="3177"/>
    <cellStyle name="T_KHXDCB_2009_ HDND_KH_DTXD_2011_KTNN_Ha1" xfId="3178"/>
    <cellStyle name="T_KHXDCB_2009_ HDND_Nhucauvon_2010" xfId="3179"/>
    <cellStyle name="T_KHXDCB_2009_ HDND_Nhucauvon_2010_6_BCXDCB_6thang_2010_BCH" xfId="3180"/>
    <cellStyle name="T_Kiennghi_TTCP" xfId="3181"/>
    <cellStyle name="T_Kiennghi_TTCP_Bosung" xfId="3182"/>
    <cellStyle name="T_Kiennghi_TTCP_Bosung_lan2" xfId="3183"/>
    <cellStyle name="T_Kiennghibosungvon_TTCP_2" xfId="3184"/>
    <cellStyle name="T_Kl VL ranh" xfId="3185"/>
    <cellStyle name="T_Kl VL ranh_TMDTluong_540000(1)" xfId="3186"/>
    <cellStyle name="T_KLNMD1" xfId="3187"/>
    <cellStyle name="T_KLNMD1_Book1" xfId="3188"/>
    <cellStyle name="T_KLNMD1_Book2" xfId="3189"/>
    <cellStyle name="T_KLNMD1_thanh hoa lap du an 062008" xfId="3190"/>
    <cellStyle name="T_KLNMD1_TMDTluong_540000(1)" xfId="3191"/>
    <cellStyle name="T_Mau kiem ke" xfId="3192"/>
    <cellStyle name="T_Nhap" xfId="3193"/>
    <cellStyle name="T_Nhucauvon_2010" xfId="3194"/>
    <cellStyle name="T_Nhucauvon_2010_6_BCXDCB_6thang_2010_BCH" xfId="3195"/>
    <cellStyle name="T_NR 22KV - TBA 3P-320KVA, luoi ha the 3P-4D-380V  kho 4, xi nghiep luong thuc 1" xfId="3196"/>
    <cellStyle name="T_Phan ha the" xfId="3197"/>
    <cellStyle name="T_Phanbotindung_2009_KH" xfId="3198"/>
    <cellStyle name="T_Phanbotindung_2009_KH_6_Dieuchinh_6thang_2010_Totrinh_HDND" xfId="3199"/>
    <cellStyle name="T_Phanbotindung_2009_KH_BCXDCB_6thang_2010_BTV" xfId="3200"/>
    <cellStyle name="T_Phanbotindung_2009_KH_Bieu Bo sung_GuichiThu" xfId="3201"/>
    <cellStyle name="T_Phanbotindung_2009_KH_KH_DTXD_2011_KTNN_Ha" xfId="3202"/>
    <cellStyle name="T_Phanbotindung_2009_KH_KH_DTXD_2011_KTNN_Ha1" xfId="3203"/>
    <cellStyle name="T_Phanbotindung_2009_KH_Nhucauvon_2010" xfId="3204"/>
    <cellStyle name="T_Phanbotindung_2009_KH_Nhucauvon_2010_6_BCXDCB_6thang_2010_BCH" xfId="3205"/>
    <cellStyle name="T_phu luc thoi gian kiem tra cac du an 8-2007" xfId="3206"/>
    <cellStyle name="T_QT di chuyen ca phe" xfId="3207"/>
    <cellStyle name="T_Sheet1" xfId="3208"/>
    <cellStyle name="T_SuoiTon" xfId="3209"/>
    <cellStyle name="T_THKLTL702" xfId="3210"/>
    <cellStyle name="T_THKLTL702_Book1" xfId="3211"/>
    <cellStyle name="T_THKLTL702_Book2" xfId="3212"/>
    <cellStyle name="T_THKLTL702_thanh hoa lap du an 062008" xfId="3213"/>
    <cellStyle name="T_THKLTL702_TMDTluong_540000(1)" xfId="3214"/>
    <cellStyle name="T_Tien luong moi thau goi 1" xfId="3215"/>
    <cellStyle name="T_tien2004" xfId="3216"/>
    <cellStyle name="T_tien2004_Book1" xfId="3217"/>
    <cellStyle name="T_tien2004_Book2" xfId="3218"/>
    <cellStyle name="T_tien2004_thanh hoa lap du an 062008" xfId="3219"/>
    <cellStyle name="T_tien2004_TMDTluong_540000(1)" xfId="3220"/>
    <cellStyle name="T_TK_HT" xfId="3221"/>
    <cellStyle name="T_TMDTluong_540000(1)" xfId="3222"/>
    <cellStyle name="T_Worksheet in D: ... Hoan thien 5goi theo KL cu 28-06 4.Cong 5goi Coc 33-Km1+490.13 Cong coc 33-km1+490.13" xfId="3223"/>
    <cellStyle name="T_Worksheet in D: ... Hoan thien 5goi theo KL cu 28-06 4.Cong 5goi Coc 33-Km1+490.13 Cong coc 33-km1+490.13_TMDTluong_540000(1)" xfId="3224"/>
    <cellStyle name="Tan" xfId="3225"/>
    <cellStyle name="Text Indent A" xfId="3226"/>
    <cellStyle name="Text Indent B" xfId="3227"/>
    <cellStyle name="Text Indent C" xfId="3228"/>
    <cellStyle name="th" xfId="3229"/>
    <cellStyle name="th 2" xfId="3230"/>
    <cellStyle name="þ_x001D_ð¤_x000C_¯þ_x0014_&#13;¨þU_x0001_À_x0004_ _x0015__x000F__x0001__x0001_" xfId="3231"/>
    <cellStyle name="þ_x001D_ð·_x000C_æþ'&#13;ßþU_x0001_Ø_x0005_ü_x0014__x0007__x0001__x0001_" xfId="3232"/>
    <cellStyle name="þ_x001D_ð·_x000C_æþ'&#13;ßþU_x0001_Ø_x0005_ü_x0014__x0007__x0001__x0001_?_x0002_ÿÿÿÿÿÿÿÿÿÿÿÿÿÿÿ¯?(_x0002__x001E__x0016_ ???¼$ÿÿÿÿ????_x0006__x0016_??????????????Í!Ë??????????           ?????           ?????????&#13;C:\WINDOWS\&#13;V&#13;S\TEMP&#13;NC;C:\NU;C:\VIRUS;&#13;?????????????????????????????????????????????????????????????????????????????" xfId="3233"/>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Ø‹F&#10;‹V_x000C_Ä^_x0006_&amp;‰G_x0008_&amp;‰W&#10;_x001F_ÉË?¸ÿ_x0013_È_x0006_??WV_x001E_Ø‹^&#10;‹v_x0006_ƒûÿt_x0007_F_x0008_&amp;‰\&#10;ƒ~_x000C_?u.F_x0008_&amp;ÿt_x0002_&amp;ÿ4&amp;" xfId="3234"/>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3235"/>
    <cellStyle name="þð·æþ'&#13;ßþUØü?ÿÿÿÿÿÿÿÿÿÿÿÿÿÿÿ¯?( ???¼$ÿÿÿÿ??????????????????Í!Ë??????????           ?????           ?????????&#13;C:\WINDOWS\&#13;V&#13;S\TEMP&#13;NC;C:\NU;C:\VIRUS;&#13;?????????????????????????????????????????????????????????????????????????????" xfId="3236"/>
    <cellStyle name="þð·æþ'&#13;ßþUØü?ÿÿÿÿÿÿÿÿÿÿÿÿÿÿÿ¯?( ???¼$ÿÿÿÿ??????????????????Í!Ë??????????           ?????           ????Fþ?&#13;FÆPš7Àt‹F‹V‰Fö‰VøÿvþFÆPš‚CÉË¸ÿU‹ìŽØ‹F&#10;‹VÄ^&amp;‰G&amp;‰W&#10;ÉË?¸ÿÈ??WVŽØ‹^&#10;‹vƒûÿtŽF&amp;‰\&#10;ƒ~?u.ŽF&amp;ÿt&amp;ÿ4&amp;" xfId="3237"/>
    <cellStyle name="þ_x001D_ðÇ%Uý—&amp;Hý9_x0008_Ÿ s&#10;_x0007__x0001__x0001_" xfId="3238"/>
    <cellStyle name="þ_x001D_ðÇ%Uý—&amp;Hý9_x0008_Ÿ s&#10;_x0007__x0001__x0001_?_x0002_ÿÿÿÿÿÿÿÿÿÿÿÿÿÿÿ_x0001_(_x0002_—&#13;???Î_x001F_ÿÿÿÿ????_x0007_???????????????Í!Ë??????????           ?????           ?????????&#13;C:\WINDOWS\country.sys&#13;??????????????????????????????????????????????????????????????????????????????????????????????" xfId="3239"/>
    <cellStyle name="þ_x001D_ðÇ%Uý—&amp;Hý9_x0008_Ÿ s&#10;_x0007__x0001__x0001_" xfId="3240"/>
    <cellStyle name="þ_x001D_ðÇ%Uý—&amp;Hý9_x0008_Ÿ s&#10;_x0007__x0001__x0001_?_x0002_ÿÿÿÿÿÿÿÿÿÿÿÿÿÿÿ_x0001_(_x0002_—&#13;???Î_x001F_ÿÿÿÿ????_x0007_???????????????Í!Ë??????????           ?????           ?????????&#13;C:\WINDOWS\country.sys&#13;??????????????????????????????????????????????????????????????????????????????????????????????" xfId="3241"/>
    <cellStyle name="þ_x001D_ðK_x000C_Fý_x001B_&#13;9ýU_x0001_Ð_x0008_¦)_x0007__x0001__x0001_" xfId="3242"/>
    <cellStyle name="thuong-10" xfId="3243"/>
    <cellStyle name="thuong-11" xfId="3244"/>
    <cellStyle name="Thuyet minh" xfId="3245"/>
    <cellStyle name="tit1" xfId="3246"/>
    <cellStyle name="tit2" xfId="3247"/>
    <cellStyle name="tit3" xfId="3248"/>
    <cellStyle name="tit4" xfId="3249"/>
    <cellStyle name="Title" xfId="3250"/>
    <cellStyle name="Tongcong" xfId="3251"/>
    <cellStyle name="Total" xfId="3252"/>
    <cellStyle name="Total 2" xfId="3253"/>
    <cellStyle name="Valuta (0)_CALPREZZ" xfId="3254"/>
    <cellStyle name="Valuta_ PESO ELETTR." xfId="3255"/>
    <cellStyle name="VANG1" xfId="3256"/>
    <cellStyle name="viet" xfId="3257"/>
    <cellStyle name="viet 2" xfId="3258"/>
    <cellStyle name="viet2" xfId="3259"/>
    <cellStyle name="viet2 2" xfId="3260"/>
    <cellStyle name="VN new romanNormal" xfId="3261"/>
    <cellStyle name="Vn Time 13" xfId="3262"/>
    <cellStyle name="Vn Time 14" xfId="3263"/>
    <cellStyle name="VN time new roman" xfId="3264"/>
    <cellStyle name="vn_time" xfId="3265"/>
    <cellStyle name="vnbo" xfId="3266"/>
    <cellStyle name="vnhead1" xfId="3267"/>
    <cellStyle name="vnhead2" xfId="3268"/>
    <cellStyle name="vnhead3" xfId="3269"/>
    <cellStyle name="vnhead4" xfId="3270"/>
    <cellStyle name="vntxt1" xfId="3271"/>
    <cellStyle name="vntxt2" xfId="3272"/>
    <cellStyle name="Währung [0]_UXO VII" xfId="3273"/>
    <cellStyle name="Währung_UXO VII" xfId="3274"/>
    <cellStyle name="Walutowy [0]_Invoices2001Slovakia" xfId="3275"/>
    <cellStyle name="Walutowy_Invoices2001Slovakia" xfId="3276"/>
    <cellStyle name="Warning Text" xfId="3277"/>
    <cellStyle name="xan1" xfId="3278"/>
    <cellStyle name="xuan" xfId="3279"/>
    <cellStyle name=" [0.00]_ Att. 1- Cover" xfId="3280"/>
    <cellStyle name="_ Att. 1- Cover" xfId="3281"/>
    <cellStyle name="?_ Att. 1- Cover" xfId="3282"/>
    <cellStyle name="똿뗦먛귟 [0.00]_PRODUCT DETAIL Q1" xfId="3283"/>
    <cellStyle name="똿뗦먛귟_PRODUCT DETAIL Q1" xfId="3284"/>
    <cellStyle name="믅됞 [0.00]_PRODUCT DETAIL Q1" xfId="3285"/>
    <cellStyle name="믅됞_PRODUCT DETAIL Q1" xfId="3286"/>
    <cellStyle name="백분율_95" xfId="3287"/>
    <cellStyle name="뷭?_BOOKSHIP" xfId="3288"/>
    <cellStyle name="안건회계법인" xfId="3289"/>
    <cellStyle name="콤마 [ - 유형1" xfId="3290"/>
    <cellStyle name="콤마 [ - 유형2" xfId="3291"/>
    <cellStyle name="콤마 [ - 유형3" xfId="3292"/>
    <cellStyle name="콤마 [ - 유형4" xfId="3293"/>
    <cellStyle name="콤마 [ - 유형5" xfId="3294"/>
    <cellStyle name="콤마 [ - 유형6" xfId="3295"/>
    <cellStyle name="콤마 [ - 유형7" xfId="3296"/>
    <cellStyle name="콤마 [ - 유형8" xfId="3297"/>
    <cellStyle name="콤마 [0]_ 비목별 월별기술 " xfId="3298"/>
    <cellStyle name="콤마_ 비목별 월별기술 " xfId="3299"/>
    <cellStyle name="통화 [0]_00ss ordersheet" xfId="3300"/>
    <cellStyle name="통화_00ss ordersheet" xfId="3301"/>
    <cellStyle name="표준_ 97년 경영분석(안)" xfId="3302"/>
    <cellStyle name="一般_00Q3902REV.1" xfId="3303"/>
    <cellStyle name="千分位[0]_00Q3902REV.1" xfId="3304"/>
    <cellStyle name="千分位_00Q3902REV.1" xfId="3305"/>
    <cellStyle name="桁区切り_NADUONG BQ (Draft)" xfId="3306"/>
    <cellStyle name="標準_#265_Rebates and Pricing" xfId="3307"/>
    <cellStyle name="貨幣 [0]_00Q3902REV.1" xfId="3308"/>
    <cellStyle name="貨幣[0]_BRE" xfId="3309"/>
    <cellStyle name="貨幣_00Q3902REV.1" xfId="3310"/>
    <cellStyle name="通貨_MITSUI1_BQ" xfId="33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huluc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800100</xdr:colOff>
      <xdr:row>1</xdr:row>
      <xdr:rowOff>0</xdr:rowOff>
    </xdr:from>
    <xdr:to>
      <xdr:col>33</xdr:col>
      <xdr:colOff>0</xdr:colOff>
      <xdr:row>2</xdr:row>
      <xdr:rowOff>19050</xdr:rowOff>
    </xdr:to>
    <xdr:sp fLocksText="0">
      <xdr:nvSpPr>
        <xdr:cNvPr id="1" name="TextBox 1">
          <a:hlinkClick r:id="rId1"/>
        </xdr:cNvPr>
        <xdr:cNvSpPr txBox="1">
          <a:spLocks noChangeArrowheads="1"/>
        </xdr:cNvSpPr>
      </xdr:nvSpPr>
      <xdr:spPr>
        <a:xfrm>
          <a:off x="10877550" y="200025"/>
          <a:ext cx="0" cy="257175"/>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_Bieu%20theo%20TT342%20(B60,%2061)%20Nguyen%20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0-TT342"/>
      <sheetName val="61-TT342"/>
      <sheetName val="64 - ND 31"/>
      <sheetName val="QT vay"/>
    </sheetNames>
    <sheetDataSet>
      <sheetData sheetId="0">
        <row r="1">
          <cell r="A1" t="str">
            <v>UBND TỈNH LẠNG SƠN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38"/>
  <sheetViews>
    <sheetView zoomScalePageLayoutView="0" workbookViewId="0" topLeftCell="A19">
      <selection activeCell="B53" sqref="B53"/>
    </sheetView>
  </sheetViews>
  <sheetFormatPr defaultColWidth="9.140625" defaultRowHeight="15"/>
  <cols>
    <col min="1" max="1" width="9.140625" style="343" customWidth="1"/>
    <col min="2" max="2" width="43.57421875" style="0" customWidth="1"/>
    <col min="3" max="6" width="12.57421875" style="0" customWidth="1"/>
  </cols>
  <sheetData>
    <row r="1" spans="1:6" s="102" customFormat="1" ht="15">
      <c r="A1" s="549" t="s">
        <v>307</v>
      </c>
      <c r="B1" s="549"/>
      <c r="F1" s="103" t="s">
        <v>308</v>
      </c>
    </row>
    <row r="2" spans="1:6" s="102" customFormat="1" ht="17.25">
      <c r="A2" s="353"/>
      <c r="B2" s="550" t="s">
        <v>382</v>
      </c>
      <c r="C2" s="550"/>
      <c r="D2" s="550"/>
      <c r="E2" s="550"/>
      <c r="F2" s="550"/>
    </row>
    <row r="3" spans="1:6" s="102" customFormat="1" ht="15">
      <c r="A3" s="551" t="str">
        <f>'66'!A3:G3</f>
        <v>(Kèm theo Báo cáo số  571 /BC-UBND ngày  10  tháng 11 năm 2023 của Ủy ban nhân dân tỉnh)</v>
      </c>
      <c r="B3" s="551"/>
      <c r="C3" s="551"/>
      <c r="D3" s="551"/>
      <c r="E3" s="551"/>
      <c r="F3" s="551"/>
    </row>
    <row r="4" spans="1:6" s="102" customFormat="1" ht="15">
      <c r="A4" s="296"/>
      <c r="B4" s="296"/>
      <c r="C4" s="296"/>
      <c r="D4" s="296"/>
      <c r="E4" s="296"/>
      <c r="F4" s="296"/>
    </row>
    <row r="5" spans="1:6" s="102" customFormat="1" ht="15">
      <c r="A5" s="353"/>
      <c r="B5" s="552" t="s">
        <v>2</v>
      </c>
      <c r="C5" s="552"/>
      <c r="D5" s="552"/>
      <c r="E5" s="552"/>
      <c r="F5" s="552"/>
    </row>
    <row r="6" spans="1:6" ht="39" customHeight="1">
      <c r="A6" s="93" t="s">
        <v>48</v>
      </c>
      <c r="B6" s="93" t="s">
        <v>49</v>
      </c>
      <c r="C6" s="93" t="s">
        <v>180</v>
      </c>
      <c r="D6" s="94" t="s">
        <v>764</v>
      </c>
      <c r="E6" s="94" t="s">
        <v>309</v>
      </c>
      <c r="F6" s="95" t="s">
        <v>310</v>
      </c>
    </row>
    <row r="7" spans="1:6" ht="15">
      <c r="A7" s="96" t="s">
        <v>15</v>
      </c>
      <c r="B7" s="96" t="s">
        <v>38</v>
      </c>
      <c r="C7" s="96" t="s">
        <v>292</v>
      </c>
      <c r="D7" s="97">
        <v>2</v>
      </c>
      <c r="E7" s="96">
        <v>3</v>
      </c>
      <c r="F7" s="98">
        <v>4</v>
      </c>
    </row>
    <row r="8" spans="1:6" ht="21" customHeight="1">
      <c r="A8" s="246" t="s">
        <v>15</v>
      </c>
      <c r="B8" s="247" t="s">
        <v>248</v>
      </c>
      <c r="C8" s="245">
        <f>D8+E8+F8</f>
        <v>16909</v>
      </c>
      <c r="D8" s="245">
        <f>D9+D20</f>
        <v>7808</v>
      </c>
      <c r="E8" s="245">
        <f>E9+E20</f>
        <v>6241</v>
      </c>
      <c r="F8" s="245">
        <f>F9+F20</f>
        <v>2860</v>
      </c>
    </row>
    <row r="9" spans="1:6" ht="21" customHeight="1">
      <c r="A9" s="344" t="s">
        <v>64</v>
      </c>
      <c r="B9" s="356" t="s">
        <v>311</v>
      </c>
      <c r="C9" s="357">
        <f aca="true" t="shared" si="0" ref="C9:C31">D9+E9+F9</f>
        <v>16909</v>
      </c>
      <c r="D9" s="357">
        <f>D12+D18</f>
        <v>7808</v>
      </c>
      <c r="E9" s="357">
        <f>E12+E18</f>
        <v>6241</v>
      </c>
      <c r="F9" s="357">
        <f>F12+F18</f>
        <v>2860</v>
      </c>
    </row>
    <row r="10" spans="1:6" ht="21" customHeight="1">
      <c r="A10" s="345">
        <v>1</v>
      </c>
      <c r="B10" s="358" t="s">
        <v>463</v>
      </c>
      <c r="C10" s="357"/>
      <c r="D10" s="359"/>
      <c r="E10" s="359"/>
      <c r="F10" s="359"/>
    </row>
    <row r="11" spans="1:6" ht="21" customHeight="1">
      <c r="A11" s="345">
        <v>2</v>
      </c>
      <c r="B11" s="358" t="s">
        <v>312</v>
      </c>
      <c r="C11" s="357"/>
      <c r="D11" s="359"/>
      <c r="E11" s="359"/>
      <c r="F11" s="359"/>
    </row>
    <row r="12" spans="1:6" ht="21" customHeight="1">
      <c r="A12" s="345">
        <v>3</v>
      </c>
      <c r="B12" s="358" t="s">
        <v>313</v>
      </c>
      <c r="C12" s="359">
        <f t="shared" si="0"/>
        <v>14209</v>
      </c>
      <c r="D12" s="359">
        <f>D13+D17</f>
        <v>5108</v>
      </c>
      <c r="E12" s="359">
        <f>E13+E17</f>
        <v>6241</v>
      </c>
      <c r="F12" s="359">
        <f>F13+F17</f>
        <v>2860</v>
      </c>
    </row>
    <row r="13" spans="1:6" ht="21" customHeight="1">
      <c r="A13" s="345"/>
      <c r="B13" s="358" t="s">
        <v>468</v>
      </c>
      <c r="C13" s="359">
        <f t="shared" si="0"/>
        <v>13289</v>
      </c>
      <c r="D13" s="359">
        <v>5108</v>
      </c>
      <c r="E13" s="359">
        <v>6241</v>
      </c>
      <c r="F13" s="359">
        <v>1940</v>
      </c>
    </row>
    <row r="14" spans="1:6" ht="21" customHeight="1">
      <c r="A14" s="345"/>
      <c r="B14" s="358" t="s">
        <v>314</v>
      </c>
      <c r="C14" s="359"/>
      <c r="D14" s="359"/>
      <c r="E14" s="359"/>
      <c r="F14" s="359"/>
    </row>
    <row r="15" spans="1:6" ht="21" customHeight="1">
      <c r="A15" s="345"/>
      <c r="B15" s="358" t="s">
        <v>315</v>
      </c>
      <c r="C15" s="359"/>
      <c r="D15" s="359"/>
      <c r="E15" s="359"/>
      <c r="F15" s="359"/>
    </row>
    <row r="16" spans="1:6" ht="21" customHeight="1">
      <c r="A16" s="345"/>
      <c r="B16" s="358" t="s">
        <v>316</v>
      </c>
      <c r="C16" s="359"/>
      <c r="D16" s="359"/>
      <c r="E16" s="359"/>
      <c r="F16" s="359"/>
    </row>
    <row r="17" spans="1:6" ht="21" customHeight="1">
      <c r="A17" s="345"/>
      <c r="B17" s="358" t="s">
        <v>317</v>
      </c>
      <c r="C17" s="359">
        <f t="shared" si="0"/>
        <v>920</v>
      </c>
      <c r="D17" s="360"/>
      <c r="E17" s="359"/>
      <c r="F17" s="359">
        <v>920</v>
      </c>
    </row>
    <row r="18" spans="1:6" ht="21" customHeight="1">
      <c r="A18" s="345">
        <v>4</v>
      </c>
      <c r="B18" s="358" t="s">
        <v>318</v>
      </c>
      <c r="C18" s="359">
        <f t="shared" si="0"/>
        <v>2700</v>
      </c>
      <c r="D18" s="359">
        <v>2700</v>
      </c>
      <c r="E18" s="359"/>
      <c r="F18" s="359"/>
    </row>
    <row r="19" spans="1:6" ht="21" customHeight="1">
      <c r="A19" s="345"/>
      <c r="B19" s="358" t="s">
        <v>464</v>
      </c>
      <c r="C19" s="359">
        <f t="shared" si="0"/>
        <v>2700</v>
      </c>
      <c r="D19" s="359">
        <v>2700</v>
      </c>
      <c r="E19" s="359"/>
      <c r="F19" s="359"/>
    </row>
    <row r="20" spans="1:6" ht="21" customHeight="1">
      <c r="A20" s="344" t="s">
        <v>128</v>
      </c>
      <c r="B20" s="356" t="s">
        <v>319</v>
      </c>
      <c r="C20" s="359"/>
      <c r="D20" s="357"/>
      <c r="E20" s="359"/>
      <c r="F20" s="359"/>
    </row>
    <row r="21" spans="1:6" ht="34.5" customHeight="1">
      <c r="A21" s="344" t="s">
        <v>38</v>
      </c>
      <c r="B21" s="356" t="s">
        <v>253</v>
      </c>
      <c r="C21" s="357">
        <f t="shared" si="0"/>
        <v>16909</v>
      </c>
      <c r="D21" s="357">
        <f>SUM(D22:D23)</f>
        <v>7808</v>
      </c>
      <c r="E21" s="357">
        <f>SUM(E22:E23)</f>
        <v>6241</v>
      </c>
      <c r="F21" s="357">
        <f>SUM(F22:F23)</f>
        <v>2860</v>
      </c>
    </row>
    <row r="22" spans="1:6" s="179" customFormat="1" ht="21" customHeight="1">
      <c r="A22" s="344" t="s">
        <v>64</v>
      </c>
      <c r="B22" s="356" t="s">
        <v>254</v>
      </c>
      <c r="C22" s="357"/>
      <c r="D22" s="357"/>
      <c r="E22" s="357"/>
      <c r="F22" s="357"/>
    </row>
    <row r="23" spans="1:6" s="179" customFormat="1" ht="21" customHeight="1">
      <c r="A23" s="344" t="s">
        <v>128</v>
      </c>
      <c r="B23" s="356" t="s">
        <v>23</v>
      </c>
      <c r="C23" s="357">
        <f t="shared" si="0"/>
        <v>16909</v>
      </c>
      <c r="D23" s="357">
        <f>SUM(D24:D31)</f>
        <v>7808</v>
      </c>
      <c r="E23" s="357">
        <f>SUM(E24:E31)</f>
        <v>6241</v>
      </c>
      <c r="F23" s="357">
        <f>SUM(F24:F31)</f>
        <v>2860</v>
      </c>
    </row>
    <row r="24" spans="1:6" ht="21" customHeight="1">
      <c r="A24" s="345">
        <v>1</v>
      </c>
      <c r="B24" s="358" t="s">
        <v>263</v>
      </c>
      <c r="C24" s="359">
        <f t="shared" si="0"/>
        <v>13797</v>
      </c>
      <c r="D24" s="359">
        <v>7808</v>
      </c>
      <c r="E24" s="359">
        <v>4486</v>
      </c>
      <c r="F24" s="359">
        <v>1503</v>
      </c>
    </row>
    <row r="25" spans="1:6" ht="21" customHeight="1">
      <c r="A25" s="345">
        <v>2</v>
      </c>
      <c r="B25" s="358" t="s">
        <v>465</v>
      </c>
      <c r="C25" s="359">
        <f t="shared" si="0"/>
        <v>1024</v>
      </c>
      <c r="D25" s="359"/>
      <c r="E25" s="359">
        <v>1000</v>
      </c>
      <c r="F25" s="359">
        <v>24</v>
      </c>
    </row>
    <row r="26" spans="1:6" ht="21" customHeight="1">
      <c r="A26" s="345">
        <v>3</v>
      </c>
      <c r="B26" s="358" t="s">
        <v>320</v>
      </c>
      <c r="C26" s="359"/>
      <c r="D26" s="359"/>
      <c r="E26" s="359"/>
      <c r="F26" s="359"/>
    </row>
    <row r="27" spans="1:6" ht="21" customHeight="1">
      <c r="A27" s="345">
        <v>4</v>
      </c>
      <c r="B27" s="358" t="s">
        <v>218</v>
      </c>
      <c r="C27" s="359"/>
      <c r="D27" s="359"/>
      <c r="E27" s="359"/>
      <c r="F27" s="359"/>
    </row>
    <row r="28" spans="1:6" s="111" customFormat="1" ht="21" customHeight="1">
      <c r="A28" s="345">
        <v>5</v>
      </c>
      <c r="B28" s="358" t="s">
        <v>466</v>
      </c>
      <c r="C28" s="359">
        <f t="shared" si="0"/>
        <v>300</v>
      </c>
      <c r="D28" s="359"/>
      <c r="E28" s="359">
        <v>300</v>
      </c>
      <c r="F28" s="359"/>
    </row>
    <row r="29" spans="1:6" s="111" customFormat="1" ht="21" customHeight="1">
      <c r="A29" s="345">
        <v>6</v>
      </c>
      <c r="B29" s="358" t="s">
        <v>261</v>
      </c>
      <c r="C29" s="359">
        <f t="shared" si="0"/>
        <v>1732</v>
      </c>
      <c r="D29" s="359"/>
      <c r="E29" s="359">
        <v>405</v>
      </c>
      <c r="F29" s="359">
        <v>1327</v>
      </c>
    </row>
    <row r="30" spans="1:6" s="111" customFormat="1" ht="21" customHeight="1">
      <c r="A30" s="345">
        <v>7</v>
      </c>
      <c r="B30" s="358" t="s">
        <v>467</v>
      </c>
      <c r="C30" s="359">
        <f t="shared" si="0"/>
        <v>50</v>
      </c>
      <c r="D30" s="359"/>
      <c r="E30" s="359">
        <v>50</v>
      </c>
      <c r="F30" s="359"/>
    </row>
    <row r="31" spans="1:6" s="111" customFormat="1" ht="21" customHeight="1">
      <c r="A31" s="346">
        <v>8</v>
      </c>
      <c r="B31" s="361" t="s">
        <v>220</v>
      </c>
      <c r="C31" s="362">
        <f t="shared" si="0"/>
        <v>6</v>
      </c>
      <c r="D31" s="362"/>
      <c r="E31" s="362"/>
      <c r="F31" s="362">
        <v>6</v>
      </c>
    </row>
    <row r="32" spans="1:6" ht="15.75" customHeight="1" hidden="1">
      <c r="A32" s="354"/>
      <c r="B32" s="137"/>
      <c r="C32" s="138"/>
      <c r="D32" s="553" t="s">
        <v>379</v>
      </c>
      <c r="E32" s="553"/>
      <c r="F32" s="553"/>
    </row>
    <row r="33" spans="1:6" ht="15.75" customHeight="1" hidden="1">
      <c r="A33" s="355"/>
      <c r="B33" s="69" t="s">
        <v>336</v>
      </c>
      <c r="C33" s="139"/>
      <c r="D33" s="554" t="s">
        <v>337</v>
      </c>
      <c r="E33" s="554"/>
      <c r="F33" s="554"/>
    </row>
    <row r="34" spans="1:6" ht="15" hidden="1">
      <c r="A34" s="355"/>
      <c r="B34" s="140"/>
      <c r="C34" s="139"/>
      <c r="D34" s="139"/>
      <c r="E34" s="139"/>
      <c r="F34" s="139"/>
    </row>
    <row r="35" spans="1:6" ht="15" hidden="1">
      <c r="A35" s="355"/>
      <c r="B35" s="141"/>
      <c r="C35" s="141"/>
      <c r="D35" s="141"/>
      <c r="E35" s="141"/>
      <c r="F35" s="83"/>
    </row>
    <row r="36" spans="1:6" ht="15" hidden="1">
      <c r="A36" s="355"/>
      <c r="B36" s="141"/>
      <c r="C36" s="141"/>
      <c r="D36" s="141"/>
      <c r="E36" s="141"/>
      <c r="F36" s="83"/>
    </row>
    <row r="37" spans="1:6" ht="15" hidden="1">
      <c r="A37" s="355"/>
      <c r="B37" s="141"/>
      <c r="C37" s="141"/>
      <c r="D37" s="141"/>
      <c r="E37" s="141"/>
      <c r="F37" s="83"/>
    </row>
    <row r="38" spans="1:6" ht="15" hidden="1">
      <c r="A38" s="355"/>
      <c r="B38" s="140" t="s">
        <v>367</v>
      </c>
      <c r="C38" s="141"/>
      <c r="D38" s="548" t="s">
        <v>338</v>
      </c>
      <c r="E38" s="548"/>
      <c r="F38" s="548"/>
    </row>
  </sheetData>
  <sheetProtection/>
  <mergeCells count="7">
    <mergeCell ref="D38:F38"/>
    <mergeCell ref="A1:B1"/>
    <mergeCell ref="B2:F2"/>
    <mergeCell ref="A3:F3"/>
    <mergeCell ref="B5:F5"/>
    <mergeCell ref="D32:F32"/>
    <mergeCell ref="D33:F33"/>
  </mergeCells>
  <printOptions horizontalCentered="1"/>
  <pageMargins left="0.7" right="0.2" top="0.7" bottom="0.5" header="0.31496062992126" footer="0.31496062992126"/>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AG48"/>
  <sheetViews>
    <sheetView workbookViewId="0" topLeftCell="A29">
      <selection activeCell="A23" sqref="A23:IV23"/>
    </sheetView>
  </sheetViews>
  <sheetFormatPr defaultColWidth="11.57421875" defaultRowHeight="15"/>
  <cols>
    <col min="1" max="1" width="6.7109375" style="56" customWidth="1"/>
    <col min="2" max="2" width="41.421875" style="56" customWidth="1"/>
    <col min="3" max="3" width="13.00390625" style="54" customWidth="1"/>
    <col min="4" max="5" width="13.140625" style="54" customWidth="1"/>
    <col min="6" max="9" width="13.140625" style="54" hidden="1" customWidth="1"/>
    <col min="10" max="10" width="13.140625" style="55" hidden="1" customWidth="1"/>
    <col min="11" max="16" width="13.140625" style="54" hidden="1" customWidth="1"/>
    <col min="17" max="18" width="12.7109375" style="54" customWidth="1"/>
    <col min="19" max="19" width="12.8515625" style="55" customWidth="1"/>
    <col min="20" max="30" width="13.140625" style="57" hidden="1" customWidth="1"/>
    <col min="31" max="31" width="13.140625" style="55" customWidth="1"/>
    <col min="32" max="32" width="12.28125" style="54" customWidth="1"/>
    <col min="33" max="33" width="12.00390625" style="56" customWidth="1"/>
    <col min="34" max="16384" width="11.57421875" style="56" customWidth="1"/>
  </cols>
  <sheetData>
    <row r="1" spans="1:33" ht="15.75">
      <c r="A1" s="555" t="s">
        <v>0</v>
      </c>
      <c r="B1" s="555"/>
      <c r="S1" s="512" t="s">
        <v>228</v>
      </c>
      <c r="T1" s="512"/>
      <c r="U1" s="512"/>
      <c r="V1" s="512"/>
      <c r="W1" s="512"/>
      <c r="X1" s="512"/>
      <c r="Y1" s="512"/>
      <c r="Z1" s="512"/>
      <c r="AA1" s="512"/>
      <c r="AB1" s="512"/>
      <c r="AC1" s="512"/>
      <c r="AD1" s="512"/>
      <c r="AE1" s="512"/>
      <c r="AF1" s="512"/>
      <c r="AG1" s="512"/>
    </row>
    <row r="2" spans="1:33" s="58" customFormat="1" ht="18.75">
      <c r="A2" s="556" t="s">
        <v>229</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row>
    <row r="3" spans="1:33" s="58" customFormat="1" ht="18.75">
      <c r="A3" s="557" t="s">
        <v>383</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row>
    <row r="4" spans="1:33" s="58" customFormat="1" ht="15.75">
      <c r="A4" s="558" t="str">
        <f>'67'!A3:F3</f>
        <v>(Kèm theo Báo cáo số  571 /BC-UBND ngày  10  tháng 11 năm 2023 của Ủy ban nhân dân tỉnh)</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row>
    <row r="5" spans="32:33" ht="15.75">
      <c r="AF5" s="559" t="s">
        <v>2</v>
      </c>
      <c r="AG5" s="559"/>
    </row>
    <row r="6" spans="1:33" s="59" customFormat="1" ht="21.75" customHeight="1">
      <c r="A6" s="560" t="s">
        <v>48</v>
      </c>
      <c r="B6" s="560" t="s">
        <v>49</v>
      </c>
      <c r="C6" s="563" t="s">
        <v>180</v>
      </c>
      <c r="D6" s="565" t="s">
        <v>230</v>
      </c>
      <c r="E6" s="565"/>
      <c r="F6" s="565"/>
      <c r="G6" s="565"/>
      <c r="H6" s="565"/>
      <c r="I6" s="565"/>
      <c r="J6" s="565"/>
      <c r="K6" s="565"/>
      <c r="L6" s="565"/>
      <c r="M6" s="565"/>
      <c r="N6" s="565"/>
      <c r="O6" s="565"/>
      <c r="P6" s="565"/>
      <c r="Q6" s="565"/>
      <c r="R6" s="565" t="s">
        <v>177</v>
      </c>
      <c r="S6" s="565"/>
      <c r="T6" s="565"/>
      <c r="U6" s="565"/>
      <c r="V6" s="565"/>
      <c r="W6" s="565"/>
      <c r="X6" s="565"/>
      <c r="Y6" s="565"/>
      <c r="Z6" s="565"/>
      <c r="AA6" s="565"/>
      <c r="AB6" s="565"/>
      <c r="AC6" s="565"/>
      <c r="AD6" s="565"/>
      <c r="AE6" s="565"/>
      <c r="AF6" s="565" t="s">
        <v>231</v>
      </c>
      <c r="AG6" s="560" t="s">
        <v>232</v>
      </c>
    </row>
    <row r="7" spans="1:33" s="59" customFormat="1" ht="35.25" customHeight="1">
      <c r="A7" s="561"/>
      <c r="B7" s="561"/>
      <c r="C7" s="564"/>
      <c r="D7" s="371" t="s">
        <v>4</v>
      </c>
      <c r="E7" s="371" t="s">
        <v>233</v>
      </c>
      <c r="F7" s="371" t="s">
        <v>234</v>
      </c>
      <c r="G7" s="371" t="s">
        <v>235</v>
      </c>
      <c r="H7" s="372" t="s">
        <v>236</v>
      </c>
      <c r="I7" s="372" t="s">
        <v>237</v>
      </c>
      <c r="J7" s="373" t="s">
        <v>238</v>
      </c>
      <c r="K7" s="371" t="s">
        <v>239</v>
      </c>
      <c r="L7" s="371" t="s">
        <v>240</v>
      </c>
      <c r="M7" s="372" t="s">
        <v>241</v>
      </c>
      <c r="N7" s="372" t="s">
        <v>242</v>
      </c>
      <c r="O7" s="372" t="s">
        <v>243</v>
      </c>
      <c r="P7" s="372" t="s">
        <v>244</v>
      </c>
      <c r="Q7" s="371" t="s">
        <v>245</v>
      </c>
      <c r="R7" s="371" t="s">
        <v>4</v>
      </c>
      <c r="S7" s="372" t="s">
        <v>233</v>
      </c>
      <c r="T7" s="372" t="s">
        <v>234</v>
      </c>
      <c r="U7" s="372" t="s">
        <v>235</v>
      </c>
      <c r="V7" s="372" t="s">
        <v>236</v>
      </c>
      <c r="W7" s="372" t="s">
        <v>237</v>
      </c>
      <c r="X7" s="372" t="s">
        <v>238</v>
      </c>
      <c r="Y7" s="372" t="s">
        <v>239</v>
      </c>
      <c r="Z7" s="372" t="s">
        <v>240</v>
      </c>
      <c r="AA7" s="372" t="s">
        <v>241</v>
      </c>
      <c r="AB7" s="374" t="s">
        <v>242</v>
      </c>
      <c r="AC7" s="374" t="s">
        <v>243</v>
      </c>
      <c r="AD7" s="372" t="s">
        <v>244</v>
      </c>
      <c r="AE7" s="372" t="s">
        <v>245</v>
      </c>
      <c r="AF7" s="565"/>
      <c r="AG7" s="561"/>
    </row>
    <row r="8" spans="1:33" s="379" customFormat="1" ht="15">
      <c r="A8" s="60" t="s">
        <v>15</v>
      </c>
      <c r="B8" s="60" t="s">
        <v>38</v>
      </c>
      <c r="C8" s="60">
        <v>1</v>
      </c>
      <c r="D8" s="60" t="s">
        <v>246</v>
      </c>
      <c r="E8" s="60">
        <v>3</v>
      </c>
      <c r="F8" s="60"/>
      <c r="G8" s="60"/>
      <c r="H8" s="60"/>
      <c r="I8" s="60"/>
      <c r="J8" s="61"/>
      <c r="K8" s="60"/>
      <c r="L8" s="60"/>
      <c r="M8" s="60"/>
      <c r="N8" s="60"/>
      <c r="O8" s="60"/>
      <c r="P8" s="60">
        <v>4</v>
      </c>
      <c r="Q8" s="60">
        <v>4</v>
      </c>
      <c r="R8" s="60" t="s">
        <v>247</v>
      </c>
      <c r="S8" s="62">
        <v>6</v>
      </c>
      <c r="T8" s="63"/>
      <c r="U8" s="63"/>
      <c r="V8" s="63"/>
      <c r="W8" s="63"/>
      <c r="X8" s="63"/>
      <c r="Y8" s="63"/>
      <c r="Z8" s="63"/>
      <c r="AA8" s="63"/>
      <c r="AB8" s="63"/>
      <c r="AC8" s="63"/>
      <c r="AD8" s="63">
        <v>4</v>
      </c>
      <c r="AE8" s="62">
        <v>7</v>
      </c>
      <c r="AF8" s="60">
        <v>8</v>
      </c>
      <c r="AG8" s="60">
        <v>9</v>
      </c>
    </row>
    <row r="9" spans="1:33" ht="19.5" customHeight="1">
      <c r="A9" s="375" t="s">
        <v>15</v>
      </c>
      <c r="B9" s="376" t="s">
        <v>248</v>
      </c>
      <c r="C9" s="232">
        <f aca="true" t="shared" si="0" ref="C9:C14">D9+R9</f>
        <v>789136</v>
      </c>
      <c r="D9" s="232">
        <f>D11-D12+D13+D10</f>
        <v>268847</v>
      </c>
      <c r="E9" s="232">
        <f aca="true" t="shared" si="1" ref="E9:Q9">E10+E11-E12+E13</f>
        <v>141581</v>
      </c>
      <c r="F9" s="232">
        <f t="shared" si="1"/>
        <v>15797</v>
      </c>
      <c r="G9" s="232">
        <f t="shared" si="1"/>
        <v>11458</v>
      </c>
      <c r="H9" s="232">
        <f t="shared" si="1"/>
        <v>12616</v>
      </c>
      <c r="I9" s="232">
        <f t="shared" si="1"/>
        <v>12759</v>
      </c>
      <c r="J9" s="232">
        <f t="shared" si="1"/>
        <v>14027</v>
      </c>
      <c r="K9" s="232">
        <f t="shared" si="1"/>
        <v>8164</v>
      </c>
      <c r="L9" s="232">
        <f t="shared" si="1"/>
        <v>8558</v>
      </c>
      <c r="M9" s="232">
        <f t="shared" si="1"/>
        <v>10866</v>
      </c>
      <c r="N9" s="232">
        <f t="shared" si="1"/>
        <v>11069</v>
      </c>
      <c r="O9" s="232">
        <f t="shared" si="1"/>
        <v>11437</v>
      </c>
      <c r="P9" s="232">
        <f t="shared" si="1"/>
        <v>10515</v>
      </c>
      <c r="Q9" s="232">
        <f t="shared" si="1"/>
        <v>127266</v>
      </c>
      <c r="R9" s="232">
        <f aca="true" t="shared" si="2" ref="R9:AE9">R11-R12+R13+R10</f>
        <v>520289</v>
      </c>
      <c r="S9" s="233">
        <f>S11-S12+S13+S10</f>
        <v>209912</v>
      </c>
      <c r="T9" s="233">
        <f t="shared" si="2"/>
        <v>71103</v>
      </c>
      <c r="U9" s="233">
        <f t="shared" si="2"/>
        <v>34428</v>
      </c>
      <c r="V9" s="233">
        <f t="shared" si="2"/>
        <v>99214</v>
      </c>
      <c r="W9" s="233">
        <f t="shared" si="2"/>
        <v>34540</v>
      </c>
      <c r="X9" s="233">
        <f t="shared" si="2"/>
        <v>624</v>
      </c>
      <c r="Y9" s="233">
        <f t="shared" si="2"/>
        <v>6730</v>
      </c>
      <c r="Z9" s="233">
        <f t="shared" si="2"/>
        <v>9680</v>
      </c>
      <c r="AA9" s="233">
        <f t="shared" si="2"/>
        <v>8691</v>
      </c>
      <c r="AB9" s="233">
        <f t="shared" si="2"/>
        <v>12838</v>
      </c>
      <c r="AC9" s="233">
        <f t="shared" si="2"/>
        <v>3639</v>
      </c>
      <c r="AD9" s="233">
        <f t="shared" si="2"/>
        <v>28890</v>
      </c>
      <c r="AE9" s="233">
        <f t="shared" si="2"/>
        <v>310377</v>
      </c>
      <c r="AF9" s="234"/>
      <c r="AG9" s="366"/>
    </row>
    <row r="10" spans="1:33" ht="25.5" customHeight="1">
      <c r="A10" s="236"/>
      <c r="B10" s="363" t="s">
        <v>249</v>
      </c>
      <c r="C10" s="64">
        <f>D10+R10</f>
        <v>62585</v>
      </c>
      <c r="D10" s="64">
        <f aca="true" t="shared" si="3" ref="D10:D39">E10+Q10</f>
        <v>0</v>
      </c>
      <c r="E10" s="64"/>
      <c r="F10" s="64"/>
      <c r="G10" s="64"/>
      <c r="H10" s="64"/>
      <c r="I10" s="64"/>
      <c r="J10" s="235"/>
      <c r="K10" s="64"/>
      <c r="L10" s="64"/>
      <c r="M10" s="64"/>
      <c r="N10" s="64"/>
      <c r="O10" s="64"/>
      <c r="P10" s="64"/>
      <c r="Q10" s="64">
        <f>SUM(F10:P10)</f>
        <v>0</v>
      </c>
      <c r="R10" s="64">
        <f>S10+AE10</f>
        <v>62585</v>
      </c>
      <c r="S10" s="235">
        <f>22860+20914</f>
        <v>43774</v>
      </c>
      <c r="T10" s="235">
        <v>12206</v>
      </c>
      <c r="U10" s="235">
        <v>2051</v>
      </c>
      <c r="V10" s="235"/>
      <c r="W10" s="235"/>
      <c r="X10" s="235"/>
      <c r="Y10" s="235"/>
      <c r="Z10" s="235"/>
      <c r="AA10" s="235">
        <v>3202</v>
      </c>
      <c r="AB10" s="235"/>
      <c r="AC10" s="235"/>
      <c r="AD10" s="235">
        <v>1352</v>
      </c>
      <c r="AE10" s="235">
        <f>SUM(T10:AD10)</f>
        <v>18811</v>
      </c>
      <c r="AF10" s="64"/>
      <c r="AG10" s="367"/>
    </row>
    <row r="11" spans="1:33" ht="25.5" customHeight="1">
      <c r="A11" s="236"/>
      <c r="B11" s="363" t="s">
        <v>250</v>
      </c>
      <c r="C11" s="64">
        <f t="shared" si="0"/>
        <v>193271</v>
      </c>
      <c r="D11" s="64">
        <f t="shared" si="3"/>
        <v>193271</v>
      </c>
      <c r="E11" s="64">
        <v>70202</v>
      </c>
      <c r="F11" s="64">
        <v>14697</v>
      </c>
      <c r="G11" s="235">
        <v>11458</v>
      </c>
      <c r="H11" s="64">
        <v>11816</v>
      </c>
      <c r="I11" s="64">
        <v>12363</v>
      </c>
      <c r="J11" s="235">
        <v>13873</v>
      </c>
      <c r="K11" s="64">
        <v>7365</v>
      </c>
      <c r="L11" s="64">
        <v>8558</v>
      </c>
      <c r="M11" s="64">
        <v>10261</v>
      </c>
      <c r="N11" s="64">
        <v>10926</v>
      </c>
      <c r="O11" s="64">
        <v>11237</v>
      </c>
      <c r="P11" s="64">
        <v>10515</v>
      </c>
      <c r="Q11" s="64">
        <f aca="true" t="shared" si="4" ref="Q11:Q39">SUM(F11:P11)</f>
        <v>123069</v>
      </c>
      <c r="R11" s="64">
        <f>S11+AE11</f>
        <v>0</v>
      </c>
      <c r="S11" s="235"/>
      <c r="T11" s="235"/>
      <c r="U11" s="235"/>
      <c r="V11" s="235"/>
      <c r="W11" s="235"/>
      <c r="X11" s="235"/>
      <c r="Y11" s="235"/>
      <c r="Z11" s="235"/>
      <c r="AA11" s="235"/>
      <c r="AB11" s="235"/>
      <c r="AC11" s="235"/>
      <c r="AD11" s="235"/>
      <c r="AE11" s="235">
        <f>SUM(T11:AD11)</f>
        <v>0</v>
      </c>
      <c r="AF11" s="64"/>
      <c r="AG11" s="367"/>
    </row>
    <row r="12" spans="1:33" ht="25.5" customHeight="1">
      <c r="A12" s="236"/>
      <c r="B12" s="363" t="s">
        <v>251</v>
      </c>
      <c r="C12" s="64">
        <f t="shared" si="0"/>
        <v>0</v>
      </c>
      <c r="D12" s="64">
        <f t="shared" si="3"/>
        <v>0</v>
      </c>
      <c r="E12" s="64"/>
      <c r="F12" s="64"/>
      <c r="G12" s="64"/>
      <c r="H12" s="64"/>
      <c r="I12" s="64"/>
      <c r="J12" s="235"/>
      <c r="K12" s="64"/>
      <c r="L12" s="64"/>
      <c r="M12" s="64"/>
      <c r="N12" s="64"/>
      <c r="O12" s="64"/>
      <c r="P12" s="64"/>
      <c r="Q12" s="64">
        <f t="shared" si="4"/>
        <v>0</v>
      </c>
      <c r="R12" s="64">
        <f>S12+AE12</f>
        <v>0</v>
      </c>
      <c r="S12" s="235"/>
      <c r="T12" s="235"/>
      <c r="U12" s="235"/>
      <c r="V12" s="235"/>
      <c r="W12" s="235"/>
      <c r="X12" s="235"/>
      <c r="Y12" s="235"/>
      <c r="Z12" s="235"/>
      <c r="AA12" s="235"/>
      <c r="AB12" s="235"/>
      <c r="AC12" s="235"/>
      <c r="AD12" s="235"/>
      <c r="AE12" s="235">
        <f>SUM(T12:AD12)</f>
        <v>0</v>
      </c>
      <c r="AF12" s="64"/>
      <c r="AG12" s="367"/>
    </row>
    <row r="13" spans="1:33" ht="25.5" customHeight="1">
      <c r="A13" s="236"/>
      <c r="B13" s="363" t="s">
        <v>252</v>
      </c>
      <c r="C13" s="64">
        <f t="shared" si="0"/>
        <v>533280</v>
      </c>
      <c r="D13" s="64">
        <f t="shared" si="3"/>
        <v>75576</v>
      </c>
      <c r="E13" s="64">
        <v>71379</v>
      </c>
      <c r="F13" s="64">
        <v>1100</v>
      </c>
      <c r="G13" s="64"/>
      <c r="H13" s="64">
        <v>800</v>
      </c>
      <c r="I13" s="64">
        <v>396</v>
      </c>
      <c r="J13" s="235">
        <v>154</v>
      </c>
      <c r="K13" s="64">
        <v>799</v>
      </c>
      <c r="L13" s="64"/>
      <c r="M13" s="64">
        <v>605</v>
      </c>
      <c r="N13" s="64">
        <v>143</v>
      </c>
      <c r="O13" s="64">
        <v>200</v>
      </c>
      <c r="P13" s="64"/>
      <c r="Q13" s="64">
        <f t="shared" si="4"/>
        <v>4197</v>
      </c>
      <c r="R13" s="64">
        <f>S13+AE13</f>
        <v>457704</v>
      </c>
      <c r="S13" s="235">
        <v>166138</v>
      </c>
      <c r="T13" s="235">
        <f>34085+24812</f>
        <v>58897</v>
      </c>
      <c r="U13" s="235">
        <f>28287+4090</f>
        <v>32377</v>
      </c>
      <c r="V13" s="235">
        <f>100629-780-535-100</f>
        <v>99214</v>
      </c>
      <c r="W13" s="235">
        <f>31859+2681</f>
        <v>34540</v>
      </c>
      <c r="X13" s="235">
        <v>624</v>
      </c>
      <c r="Y13" s="235">
        <v>6730</v>
      </c>
      <c r="Z13" s="235">
        <v>9680</v>
      </c>
      <c r="AA13" s="235">
        <v>5489</v>
      </c>
      <c r="AB13" s="235">
        <v>12838</v>
      </c>
      <c r="AC13" s="235">
        <f>1011+2628</f>
        <v>3639</v>
      </c>
      <c r="AD13" s="235">
        <f>24580+171+3435-648</f>
        <v>27538</v>
      </c>
      <c r="AE13" s="235">
        <f>SUM(T13:AD13)</f>
        <v>291566</v>
      </c>
      <c r="AF13" s="64"/>
      <c r="AG13" s="367"/>
    </row>
    <row r="14" spans="1:33" s="65" customFormat="1" ht="25.5" customHeight="1">
      <c r="A14" s="239"/>
      <c r="B14" s="364" t="s">
        <v>469</v>
      </c>
      <c r="C14" s="237">
        <f t="shared" si="0"/>
        <v>262573</v>
      </c>
      <c r="D14" s="237">
        <f t="shared" si="3"/>
        <v>0</v>
      </c>
      <c r="E14" s="237"/>
      <c r="F14" s="237"/>
      <c r="G14" s="237"/>
      <c r="H14" s="237"/>
      <c r="I14" s="237"/>
      <c r="J14" s="238"/>
      <c r="K14" s="237"/>
      <c r="L14" s="237"/>
      <c r="M14" s="237"/>
      <c r="N14" s="237"/>
      <c r="O14" s="237"/>
      <c r="P14" s="237"/>
      <c r="Q14" s="64">
        <f t="shared" si="4"/>
        <v>0</v>
      </c>
      <c r="R14" s="64">
        <f>S14+AE14</f>
        <v>262573</v>
      </c>
      <c r="S14" s="238">
        <v>98299</v>
      </c>
      <c r="T14" s="238">
        <v>24812</v>
      </c>
      <c r="U14" s="238">
        <f>28287</f>
        <v>28287</v>
      </c>
      <c r="V14" s="238">
        <v>39721</v>
      </c>
      <c r="W14" s="238">
        <v>31859</v>
      </c>
      <c r="X14" s="238"/>
      <c r="Y14" s="238"/>
      <c r="Z14" s="238">
        <v>9680</v>
      </c>
      <c r="AA14" s="238">
        <v>409</v>
      </c>
      <c r="AB14" s="238">
        <v>2298</v>
      </c>
      <c r="AC14" s="238">
        <v>2628</v>
      </c>
      <c r="AD14" s="238">
        <v>24580</v>
      </c>
      <c r="AE14" s="238">
        <f>SUM(T14:AD14)</f>
        <v>164274</v>
      </c>
      <c r="AF14" s="237"/>
      <c r="AG14" s="368"/>
    </row>
    <row r="15" spans="1:33" ht="40.5" customHeight="1">
      <c r="A15" s="377" t="s">
        <v>38</v>
      </c>
      <c r="B15" s="378" t="s">
        <v>253</v>
      </c>
      <c r="C15" s="240">
        <f>C16+C20+C21</f>
        <v>325382</v>
      </c>
      <c r="D15" s="240">
        <f t="shared" si="3"/>
        <v>180645</v>
      </c>
      <c r="E15" s="240">
        <f>E16+E20+E21</f>
        <v>64797</v>
      </c>
      <c r="F15" s="240">
        <f aca="true" t="shared" si="5" ref="F15:P15">F16+F21</f>
        <v>15411</v>
      </c>
      <c r="G15" s="240">
        <f t="shared" si="5"/>
        <v>11458</v>
      </c>
      <c r="H15" s="240">
        <f t="shared" si="5"/>
        <v>6449</v>
      </c>
      <c r="I15" s="240">
        <f t="shared" si="5"/>
        <v>11964</v>
      </c>
      <c r="J15" s="240">
        <f t="shared" si="5"/>
        <v>14027</v>
      </c>
      <c r="K15" s="240">
        <f t="shared" si="5"/>
        <v>7239</v>
      </c>
      <c r="L15" s="240">
        <f t="shared" si="5"/>
        <v>7684</v>
      </c>
      <c r="M15" s="240">
        <f t="shared" si="5"/>
        <v>10431</v>
      </c>
      <c r="N15" s="240">
        <f t="shared" si="5"/>
        <v>10726</v>
      </c>
      <c r="O15" s="240">
        <f t="shared" si="5"/>
        <v>10090</v>
      </c>
      <c r="P15" s="240">
        <f t="shared" si="5"/>
        <v>10369</v>
      </c>
      <c r="Q15" s="240">
        <f>SUM(F15:P15)</f>
        <v>115848</v>
      </c>
      <c r="R15" s="240">
        <f aca="true" t="shared" si="6" ref="R15:AE15">R16+R20+R21</f>
        <v>144737</v>
      </c>
      <c r="S15" s="241">
        <f t="shared" si="6"/>
        <v>0</v>
      </c>
      <c r="T15" s="241">
        <f t="shared" si="6"/>
        <v>0</v>
      </c>
      <c r="U15" s="241">
        <f t="shared" si="6"/>
        <v>29017</v>
      </c>
      <c r="V15" s="241">
        <f t="shared" si="6"/>
        <v>40479</v>
      </c>
      <c r="W15" s="241">
        <f t="shared" si="6"/>
        <v>30881</v>
      </c>
      <c r="X15" s="241">
        <f t="shared" si="6"/>
        <v>624</v>
      </c>
      <c r="Y15" s="241">
        <f t="shared" si="6"/>
        <v>0</v>
      </c>
      <c r="Z15" s="241">
        <f t="shared" si="6"/>
        <v>9610</v>
      </c>
      <c r="AA15" s="241">
        <f t="shared" si="6"/>
        <v>3448</v>
      </c>
      <c r="AB15" s="241">
        <f t="shared" si="6"/>
        <v>12797</v>
      </c>
      <c r="AC15" s="241">
        <f t="shared" si="6"/>
        <v>2628</v>
      </c>
      <c r="AD15" s="241">
        <f t="shared" si="6"/>
        <v>15253</v>
      </c>
      <c r="AE15" s="241">
        <f t="shared" si="6"/>
        <v>144737</v>
      </c>
      <c r="AF15" s="64"/>
      <c r="AG15" s="367"/>
    </row>
    <row r="16" spans="1:33" s="66" customFormat="1" ht="25.5" customHeight="1">
      <c r="A16" s="377" t="s">
        <v>64</v>
      </c>
      <c r="B16" s="378" t="s">
        <v>254</v>
      </c>
      <c r="C16" s="240">
        <f>D16+R16</f>
        <v>129827</v>
      </c>
      <c r="D16" s="240">
        <f t="shared" si="3"/>
        <v>300</v>
      </c>
      <c r="E16" s="240"/>
      <c r="F16" s="240"/>
      <c r="G16" s="240">
        <f>G17</f>
        <v>300</v>
      </c>
      <c r="H16" s="240"/>
      <c r="I16" s="240"/>
      <c r="J16" s="241"/>
      <c r="K16" s="240"/>
      <c r="L16" s="240"/>
      <c r="M16" s="240"/>
      <c r="N16" s="240"/>
      <c r="O16" s="240"/>
      <c r="P16" s="240"/>
      <c r="Q16" s="240">
        <f t="shared" si="4"/>
        <v>300</v>
      </c>
      <c r="R16" s="240">
        <f>S16+AE16</f>
        <v>129527</v>
      </c>
      <c r="S16" s="241">
        <f>S17+S18+S19</f>
        <v>0</v>
      </c>
      <c r="T16" s="241">
        <f aca="true" t="shared" si="7" ref="T16:Y16">T17+T18+T19</f>
        <v>0</v>
      </c>
      <c r="U16" s="241">
        <f t="shared" si="7"/>
        <v>29017</v>
      </c>
      <c r="V16" s="241">
        <f t="shared" si="7"/>
        <v>39721</v>
      </c>
      <c r="W16" s="241">
        <f t="shared" si="7"/>
        <v>30881</v>
      </c>
      <c r="X16" s="241">
        <f t="shared" si="7"/>
        <v>0</v>
      </c>
      <c r="Y16" s="241">
        <f t="shared" si="7"/>
        <v>0</v>
      </c>
      <c r="Z16" s="241">
        <f>Z17+Z18</f>
        <v>9610</v>
      </c>
      <c r="AA16" s="241">
        <f>AA17+AA18</f>
        <v>3448</v>
      </c>
      <c r="AB16" s="241">
        <f>AB17+AB18</f>
        <v>0</v>
      </c>
      <c r="AC16" s="241">
        <f>AC17+AC18</f>
        <v>2628</v>
      </c>
      <c r="AD16" s="241">
        <f>AD17+AD18</f>
        <v>14222</v>
      </c>
      <c r="AE16" s="241">
        <f>SUM(T16:AD16)</f>
        <v>129527</v>
      </c>
      <c r="AF16" s="240"/>
      <c r="AG16" s="380"/>
    </row>
    <row r="17" spans="1:33" s="66" customFormat="1" ht="25.5" customHeight="1" hidden="1">
      <c r="A17" s="377">
        <v>1</v>
      </c>
      <c r="B17" s="378" t="s">
        <v>255</v>
      </c>
      <c r="C17" s="240"/>
      <c r="D17" s="240"/>
      <c r="E17" s="240"/>
      <c r="F17" s="240"/>
      <c r="G17" s="240">
        <v>300</v>
      </c>
      <c r="H17" s="240"/>
      <c r="I17" s="240"/>
      <c r="J17" s="241"/>
      <c r="K17" s="240"/>
      <c r="L17" s="240"/>
      <c r="M17" s="240"/>
      <c r="N17" s="240"/>
      <c r="O17" s="240"/>
      <c r="P17" s="240"/>
      <c r="Q17" s="240">
        <f t="shared" si="4"/>
        <v>300</v>
      </c>
      <c r="R17" s="240"/>
      <c r="S17" s="241"/>
      <c r="T17" s="241"/>
      <c r="U17" s="241">
        <f>16161+13563-600-212-3007</f>
        <v>25905</v>
      </c>
      <c r="V17" s="241">
        <f>32090</f>
        <v>32090</v>
      </c>
      <c r="W17" s="241">
        <f>25500+2195</f>
        <v>27695</v>
      </c>
      <c r="X17" s="241"/>
      <c r="Y17" s="241"/>
      <c r="Z17" s="241">
        <v>9107</v>
      </c>
      <c r="AA17" s="241">
        <v>3253</v>
      </c>
      <c r="AB17" s="241"/>
      <c r="AC17" s="241">
        <v>2275</v>
      </c>
      <c r="AD17" s="241">
        <f>10847+150</f>
        <v>10997</v>
      </c>
      <c r="AE17" s="241"/>
      <c r="AF17" s="240"/>
      <c r="AG17" s="380"/>
    </row>
    <row r="18" spans="1:33" s="66" customFormat="1" ht="25.5" customHeight="1" hidden="1">
      <c r="A18" s="377">
        <v>2</v>
      </c>
      <c r="B18" s="378" t="s">
        <v>256</v>
      </c>
      <c r="C18" s="240"/>
      <c r="D18" s="240"/>
      <c r="E18" s="240"/>
      <c r="F18" s="240"/>
      <c r="G18" s="240"/>
      <c r="H18" s="240"/>
      <c r="I18" s="240"/>
      <c r="J18" s="241"/>
      <c r="K18" s="240"/>
      <c r="L18" s="240"/>
      <c r="M18" s="240"/>
      <c r="N18" s="240"/>
      <c r="O18" s="240"/>
      <c r="P18" s="240"/>
      <c r="Q18" s="240">
        <f t="shared" si="4"/>
        <v>0</v>
      </c>
      <c r="R18" s="240"/>
      <c r="S18" s="241"/>
      <c r="T18" s="241"/>
      <c r="U18" s="241">
        <f>2300+600+212</f>
        <v>3112</v>
      </c>
      <c r="V18" s="241">
        <f>7631</f>
        <v>7631</v>
      </c>
      <c r="W18" s="241">
        <v>3186</v>
      </c>
      <c r="X18" s="241"/>
      <c r="Y18" s="241"/>
      <c r="Z18" s="241">
        <v>503</v>
      </c>
      <c r="AA18" s="241">
        <v>195</v>
      </c>
      <c r="AB18" s="241"/>
      <c r="AC18" s="241">
        <v>353</v>
      </c>
      <c r="AD18" s="241">
        <v>3225</v>
      </c>
      <c r="AE18" s="241"/>
      <c r="AF18" s="240"/>
      <c r="AG18" s="380"/>
    </row>
    <row r="19" spans="1:33" s="66" customFormat="1" ht="25.5" customHeight="1" hidden="1">
      <c r="A19" s="377">
        <v>3</v>
      </c>
      <c r="B19" s="378" t="s">
        <v>257</v>
      </c>
      <c r="C19" s="240"/>
      <c r="D19" s="240"/>
      <c r="E19" s="240"/>
      <c r="F19" s="240"/>
      <c r="G19" s="240"/>
      <c r="H19" s="240"/>
      <c r="I19" s="240"/>
      <c r="J19" s="241"/>
      <c r="K19" s="240"/>
      <c r="L19" s="240"/>
      <c r="M19" s="240"/>
      <c r="N19" s="240"/>
      <c r="O19" s="240"/>
      <c r="P19" s="240"/>
      <c r="Q19" s="240">
        <f t="shared" si="4"/>
        <v>0</v>
      </c>
      <c r="R19" s="240"/>
      <c r="S19" s="241"/>
      <c r="T19" s="241"/>
      <c r="U19" s="241"/>
      <c r="V19" s="241"/>
      <c r="W19" s="241"/>
      <c r="X19" s="241"/>
      <c r="Y19" s="241"/>
      <c r="Z19" s="241"/>
      <c r="AA19" s="241"/>
      <c r="AB19" s="241"/>
      <c r="AC19" s="241"/>
      <c r="AD19" s="241"/>
      <c r="AE19" s="241"/>
      <c r="AF19" s="240"/>
      <c r="AG19" s="380"/>
    </row>
    <row r="20" spans="1:33" s="66" customFormat="1" ht="36" customHeight="1">
      <c r="A20" s="377" t="s">
        <v>128</v>
      </c>
      <c r="B20" s="378" t="s">
        <v>258</v>
      </c>
      <c r="C20" s="240">
        <f aca="true" t="shared" si="8" ref="C20:C39">D20+R20</f>
        <v>0</v>
      </c>
      <c r="D20" s="240">
        <f t="shared" si="3"/>
        <v>0</v>
      </c>
      <c r="E20" s="240"/>
      <c r="F20" s="240"/>
      <c r="G20" s="240"/>
      <c r="H20" s="240"/>
      <c r="I20" s="240"/>
      <c r="J20" s="241"/>
      <c r="K20" s="240"/>
      <c r="L20" s="240"/>
      <c r="M20" s="240"/>
      <c r="N20" s="240"/>
      <c r="O20" s="240"/>
      <c r="P20" s="240"/>
      <c r="Q20" s="240">
        <f t="shared" si="4"/>
        <v>0</v>
      </c>
      <c r="R20" s="240">
        <f>S20+AE20</f>
        <v>0</v>
      </c>
      <c r="S20" s="241"/>
      <c r="T20" s="241"/>
      <c r="U20" s="241"/>
      <c r="V20" s="241"/>
      <c r="W20" s="241"/>
      <c r="X20" s="241"/>
      <c r="Y20" s="241"/>
      <c r="Z20" s="241"/>
      <c r="AA20" s="241"/>
      <c r="AB20" s="241"/>
      <c r="AC20" s="241"/>
      <c r="AD20" s="241"/>
      <c r="AE20" s="241">
        <f>SUM(T20:AD20)</f>
        <v>0</v>
      </c>
      <c r="AF20" s="240"/>
      <c r="AG20" s="380"/>
    </row>
    <row r="21" spans="1:33" s="66" customFormat="1" ht="30" customHeight="1">
      <c r="A21" s="377" t="s">
        <v>130</v>
      </c>
      <c r="B21" s="378" t="s">
        <v>23</v>
      </c>
      <c r="C21" s="240">
        <f>D21+R21</f>
        <v>195555</v>
      </c>
      <c r="D21" s="240">
        <f t="shared" si="3"/>
        <v>180345</v>
      </c>
      <c r="E21" s="240">
        <f aca="true" t="shared" si="9" ref="E21:P21">SUM(E22:E38)</f>
        <v>64797</v>
      </c>
      <c r="F21" s="240">
        <f t="shared" si="9"/>
        <v>15411</v>
      </c>
      <c r="G21" s="240">
        <f t="shared" si="9"/>
        <v>11158</v>
      </c>
      <c r="H21" s="240">
        <f t="shared" si="9"/>
        <v>6449</v>
      </c>
      <c r="I21" s="240">
        <f t="shared" si="9"/>
        <v>11964</v>
      </c>
      <c r="J21" s="240">
        <f t="shared" si="9"/>
        <v>14027</v>
      </c>
      <c r="K21" s="240">
        <f t="shared" si="9"/>
        <v>7239</v>
      </c>
      <c r="L21" s="240">
        <f t="shared" si="9"/>
        <v>7684</v>
      </c>
      <c r="M21" s="240">
        <f t="shared" si="9"/>
        <v>10431</v>
      </c>
      <c r="N21" s="240">
        <f t="shared" si="9"/>
        <v>10726</v>
      </c>
      <c r="O21" s="240">
        <f t="shared" si="9"/>
        <v>10090</v>
      </c>
      <c r="P21" s="240">
        <f t="shared" si="9"/>
        <v>10369</v>
      </c>
      <c r="Q21" s="240">
        <f t="shared" si="4"/>
        <v>115548</v>
      </c>
      <c r="R21" s="240">
        <f>SUM(R22:R38)</f>
        <v>15210</v>
      </c>
      <c r="S21" s="241">
        <f>SUM(S22:S38)</f>
        <v>0</v>
      </c>
      <c r="T21" s="241"/>
      <c r="U21" s="241">
        <f aca="true" t="shared" si="10" ref="U21:AD21">SUM(U22:U38)</f>
        <v>0</v>
      </c>
      <c r="V21" s="241">
        <f t="shared" si="10"/>
        <v>758</v>
      </c>
      <c r="W21" s="241">
        <f t="shared" si="10"/>
        <v>0</v>
      </c>
      <c r="X21" s="241">
        <f t="shared" si="10"/>
        <v>624</v>
      </c>
      <c r="Y21" s="241">
        <f t="shared" si="10"/>
        <v>0</v>
      </c>
      <c r="Z21" s="241">
        <f t="shared" si="10"/>
        <v>0</v>
      </c>
      <c r="AA21" s="241">
        <f t="shared" si="10"/>
        <v>0</v>
      </c>
      <c r="AB21" s="241">
        <f t="shared" si="10"/>
        <v>12797</v>
      </c>
      <c r="AC21" s="241">
        <f t="shared" si="10"/>
        <v>0</v>
      </c>
      <c r="AD21" s="241">
        <f t="shared" si="10"/>
        <v>1031</v>
      </c>
      <c r="AE21" s="241">
        <f>SUM(AE22:AE38)</f>
        <v>15210</v>
      </c>
      <c r="AF21" s="240">
        <f>SUM(AF24:AF35)</f>
        <v>0</v>
      </c>
      <c r="AG21" s="380"/>
    </row>
    <row r="22" spans="1:33" ht="54.75" customHeight="1">
      <c r="A22" s="239">
        <v>1</v>
      </c>
      <c r="B22" s="364" t="s">
        <v>765</v>
      </c>
      <c r="C22" s="238">
        <f t="shared" si="8"/>
        <v>13325</v>
      </c>
      <c r="D22" s="238">
        <f t="shared" si="3"/>
        <v>13325</v>
      </c>
      <c r="E22" s="238">
        <f>406+103+701</f>
        <v>1210</v>
      </c>
      <c r="F22" s="238">
        <f>808+405</f>
        <v>1213</v>
      </c>
      <c r="G22" s="238"/>
      <c r="H22" s="238">
        <f>2759+284</f>
        <v>3043</v>
      </c>
      <c r="I22" s="238">
        <v>974</v>
      </c>
      <c r="J22" s="238">
        <f>58+1834</f>
        <v>1892</v>
      </c>
      <c r="K22" s="238">
        <f>886+170</f>
        <v>1056</v>
      </c>
      <c r="L22" s="238">
        <v>2921</v>
      </c>
      <c r="M22" s="238">
        <v>655</v>
      </c>
      <c r="N22" s="238"/>
      <c r="O22" s="238">
        <v>84</v>
      </c>
      <c r="P22" s="238">
        <f>277</f>
        <v>277</v>
      </c>
      <c r="Q22" s="64">
        <f t="shared" si="4"/>
        <v>12115</v>
      </c>
      <c r="R22" s="235">
        <f aca="true" t="shared" si="11" ref="R22:R39">S22+AE22</f>
        <v>0</v>
      </c>
      <c r="S22" s="238"/>
      <c r="T22" s="238"/>
      <c r="U22" s="238"/>
      <c r="V22" s="238"/>
      <c r="W22" s="238"/>
      <c r="X22" s="238"/>
      <c r="Y22" s="238"/>
      <c r="Z22" s="238"/>
      <c r="AA22" s="238"/>
      <c r="AB22" s="238"/>
      <c r="AC22" s="238"/>
      <c r="AD22" s="238"/>
      <c r="AE22" s="235">
        <f aca="true" t="shared" si="12" ref="AE22:AE38">SUM(T22:AD22)</f>
        <v>0</v>
      </c>
      <c r="AF22" s="238"/>
      <c r="AG22" s="368"/>
    </row>
    <row r="23" spans="1:33" ht="22.5" customHeight="1">
      <c r="A23" s="239">
        <v>2</v>
      </c>
      <c r="B23" s="364" t="s">
        <v>766</v>
      </c>
      <c r="C23" s="238">
        <f t="shared" si="8"/>
        <v>112236</v>
      </c>
      <c r="D23" s="238">
        <f t="shared" si="3"/>
        <v>112236</v>
      </c>
      <c r="E23" s="238">
        <f>36697+2977+3149</f>
        <v>42823</v>
      </c>
      <c r="F23" s="238">
        <v>11599</v>
      </c>
      <c r="G23" s="238">
        <f>386+305+7388</f>
        <v>8079</v>
      </c>
      <c r="H23" s="238">
        <v>2815</v>
      </c>
      <c r="I23" s="238">
        <f>1031+6861+388</f>
        <v>8280</v>
      </c>
      <c r="J23" s="238">
        <f>1204+4145</f>
        <v>5349</v>
      </c>
      <c r="K23" s="238">
        <f>678+5215</f>
        <v>5893</v>
      </c>
      <c r="L23" s="238">
        <f>154+469</f>
        <v>623</v>
      </c>
      <c r="M23" s="238">
        <f>3485+3332+641+196+351</f>
        <v>8005</v>
      </c>
      <c r="N23" s="238">
        <v>3819</v>
      </c>
      <c r="O23" s="238">
        <f>1036+7323</f>
        <v>8359</v>
      </c>
      <c r="P23" s="238">
        <v>6592</v>
      </c>
      <c r="Q23" s="64">
        <f t="shared" si="4"/>
        <v>69413</v>
      </c>
      <c r="R23" s="235">
        <f t="shared" si="11"/>
        <v>0</v>
      </c>
      <c r="S23" s="238"/>
      <c r="T23" s="238"/>
      <c r="U23" s="238"/>
      <c r="V23" s="238"/>
      <c r="W23" s="238"/>
      <c r="X23" s="238"/>
      <c r="Y23" s="238"/>
      <c r="Z23" s="238"/>
      <c r="AA23" s="238"/>
      <c r="AB23" s="238"/>
      <c r="AC23" s="238"/>
      <c r="AD23" s="238"/>
      <c r="AE23" s="235">
        <f t="shared" si="12"/>
        <v>0</v>
      </c>
      <c r="AF23" s="238"/>
      <c r="AG23" s="368"/>
    </row>
    <row r="24" spans="1:33" ht="30" customHeight="1">
      <c r="A24" s="239">
        <v>3</v>
      </c>
      <c r="B24" s="364" t="s">
        <v>259</v>
      </c>
      <c r="C24" s="238">
        <f t="shared" si="8"/>
        <v>97</v>
      </c>
      <c r="D24" s="238">
        <f t="shared" si="3"/>
        <v>97</v>
      </c>
      <c r="E24" s="238"/>
      <c r="F24" s="238"/>
      <c r="G24" s="238"/>
      <c r="H24" s="238"/>
      <c r="I24" s="238">
        <v>7</v>
      </c>
      <c r="J24" s="238"/>
      <c r="K24" s="238"/>
      <c r="L24" s="238">
        <v>43</v>
      </c>
      <c r="M24" s="238"/>
      <c r="N24" s="238"/>
      <c r="O24" s="238">
        <v>27</v>
      </c>
      <c r="P24" s="238">
        <v>20</v>
      </c>
      <c r="Q24" s="64">
        <f t="shared" si="4"/>
        <v>97</v>
      </c>
      <c r="R24" s="235">
        <f t="shared" si="11"/>
        <v>0</v>
      </c>
      <c r="S24" s="238"/>
      <c r="T24" s="238"/>
      <c r="U24" s="238"/>
      <c r="V24" s="238"/>
      <c r="W24" s="238"/>
      <c r="X24" s="238"/>
      <c r="Y24" s="238"/>
      <c r="Z24" s="238"/>
      <c r="AA24" s="238"/>
      <c r="AB24" s="238"/>
      <c r="AC24" s="238"/>
      <c r="AD24" s="238"/>
      <c r="AE24" s="235">
        <f t="shared" si="12"/>
        <v>0</v>
      </c>
      <c r="AF24" s="238"/>
      <c r="AG24" s="368"/>
    </row>
    <row r="25" spans="1:33" ht="25.5" customHeight="1">
      <c r="A25" s="239">
        <v>4</v>
      </c>
      <c r="B25" s="364" t="s">
        <v>470</v>
      </c>
      <c r="C25" s="238">
        <f t="shared" si="8"/>
        <v>4081</v>
      </c>
      <c r="D25" s="238">
        <f t="shared" si="3"/>
        <v>565</v>
      </c>
      <c r="E25" s="238"/>
      <c r="F25" s="238"/>
      <c r="G25" s="238"/>
      <c r="H25" s="238"/>
      <c r="I25" s="238">
        <v>565</v>
      </c>
      <c r="J25" s="238"/>
      <c r="K25" s="238"/>
      <c r="L25" s="238"/>
      <c r="M25" s="238"/>
      <c r="N25" s="238"/>
      <c r="O25" s="238"/>
      <c r="P25" s="238"/>
      <c r="Q25" s="64">
        <f t="shared" si="4"/>
        <v>565</v>
      </c>
      <c r="R25" s="235">
        <f t="shared" si="11"/>
        <v>3516</v>
      </c>
      <c r="S25" s="238"/>
      <c r="T25" s="238"/>
      <c r="U25" s="238"/>
      <c r="V25" s="238"/>
      <c r="W25" s="238"/>
      <c r="X25" s="238"/>
      <c r="Y25" s="238"/>
      <c r="Z25" s="238"/>
      <c r="AA25" s="238"/>
      <c r="AB25" s="238">
        <v>3516</v>
      </c>
      <c r="AC25" s="238"/>
      <c r="AD25" s="238"/>
      <c r="AE25" s="235">
        <f t="shared" si="12"/>
        <v>3516</v>
      </c>
      <c r="AF25" s="238"/>
      <c r="AG25" s="368"/>
    </row>
    <row r="26" spans="1:33" ht="25.5" customHeight="1">
      <c r="A26" s="239">
        <v>5</v>
      </c>
      <c r="B26" s="364" t="s">
        <v>260</v>
      </c>
      <c r="C26" s="238">
        <f t="shared" si="8"/>
        <v>4084</v>
      </c>
      <c r="D26" s="238">
        <f t="shared" si="3"/>
        <v>0</v>
      </c>
      <c r="E26" s="238"/>
      <c r="F26" s="238"/>
      <c r="G26" s="238"/>
      <c r="H26" s="238"/>
      <c r="I26" s="238"/>
      <c r="J26" s="238"/>
      <c r="K26" s="238"/>
      <c r="L26" s="238"/>
      <c r="M26" s="238"/>
      <c r="N26" s="238"/>
      <c r="O26" s="238"/>
      <c r="P26" s="238"/>
      <c r="Q26" s="64">
        <f t="shared" si="4"/>
        <v>0</v>
      </c>
      <c r="R26" s="235">
        <f t="shared" si="11"/>
        <v>4084</v>
      </c>
      <c r="S26" s="238"/>
      <c r="T26" s="238"/>
      <c r="U26" s="238"/>
      <c r="V26" s="238"/>
      <c r="W26" s="238"/>
      <c r="X26" s="238"/>
      <c r="Y26" s="238"/>
      <c r="Z26" s="238"/>
      <c r="AA26" s="238"/>
      <c r="AB26" s="238">
        <v>4084</v>
      </c>
      <c r="AC26" s="238"/>
      <c r="AD26" s="238"/>
      <c r="AE26" s="235">
        <f t="shared" si="12"/>
        <v>4084</v>
      </c>
      <c r="AF26" s="238"/>
      <c r="AG26" s="368"/>
    </row>
    <row r="27" spans="1:33" ht="25.5" customHeight="1">
      <c r="A27" s="239">
        <v>6</v>
      </c>
      <c r="B27" s="364" t="s">
        <v>261</v>
      </c>
      <c r="C27" s="238">
        <f t="shared" si="8"/>
        <v>11286</v>
      </c>
      <c r="D27" s="238">
        <f t="shared" si="3"/>
        <v>10005</v>
      </c>
      <c r="E27" s="238"/>
      <c r="F27" s="238">
        <v>349</v>
      </c>
      <c r="G27" s="238"/>
      <c r="H27" s="238"/>
      <c r="I27" s="238"/>
      <c r="J27" s="238">
        <f>858+1606</f>
        <v>2464</v>
      </c>
      <c r="K27" s="238"/>
      <c r="L27" s="238"/>
      <c r="M27" s="238">
        <f>1337+5+57</f>
        <v>1399</v>
      </c>
      <c r="N27" s="238">
        <f>5793</f>
        <v>5793</v>
      </c>
      <c r="O27" s="238"/>
      <c r="P27" s="238"/>
      <c r="Q27" s="64">
        <f t="shared" si="4"/>
        <v>10005</v>
      </c>
      <c r="R27" s="235">
        <f t="shared" si="11"/>
        <v>1281</v>
      </c>
      <c r="S27" s="238"/>
      <c r="T27" s="238"/>
      <c r="U27" s="238"/>
      <c r="V27" s="238">
        <v>0</v>
      </c>
      <c r="W27" s="238"/>
      <c r="X27" s="238">
        <f>234+30+30</f>
        <v>294</v>
      </c>
      <c r="Y27" s="238"/>
      <c r="Z27" s="238"/>
      <c r="AA27" s="238"/>
      <c r="AB27" s="238">
        <v>197</v>
      </c>
      <c r="AC27" s="238"/>
      <c r="AD27" s="238">
        <f>65+725</f>
        <v>790</v>
      </c>
      <c r="AE27" s="235">
        <f t="shared" si="12"/>
        <v>1281</v>
      </c>
      <c r="AF27" s="238"/>
      <c r="AG27" s="368"/>
    </row>
    <row r="28" spans="1:33" ht="25.5" customHeight="1">
      <c r="A28" s="239">
        <v>7</v>
      </c>
      <c r="B28" s="364" t="s">
        <v>471</v>
      </c>
      <c r="C28" s="238">
        <f t="shared" si="8"/>
        <v>23989</v>
      </c>
      <c r="D28" s="238">
        <f t="shared" si="3"/>
        <v>23989</v>
      </c>
      <c r="E28" s="238">
        <v>11414</v>
      </c>
      <c r="F28" s="238">
        <f>1110+542+168</f>
        <v>1820</v>
      </c>
      <c r="G28" s="238">
        <f>250+1537+112+108</f>
        <v>2007</v>
      </c>
      <c r="H28" s="238">
        <v>543</v>
      </c>
      <c r="I28" s="238">
        <f>42+433</f>
        <v>475</v>
      </c>
      <c r="J28" s="238">
        <f>320+120+1970+628+62</f>
        <v>3100</v>
      </c>
      <c r="K28" s="238">
        <f>35+255</f>
        <v>290</v>
      </c>
      <c r="L28" s="238">
        <v>195</v>
      </c>
      <c r="M28" s="238">
        <f>71+264</f>
        <v>335</v>
      </c>
      <c r="N28" s="238">
        <v>1114</v>
      </c>
      <c r="O28" s="238"/>
      <c r="P28" s="238">
        <v>2696</v>
      </c>
      <c r="Q28" s="64">
        <f t="shared" si="4"/>
        <v>12575</v>
      </c>
      <c r="R28" s="235">
        <f t="shared" si="11"/>
        <v>0</v>
      </c>
      <c r="S28" s="238"/>
      <c r="T28" s="238"/>
      <c r="U28" s="238"/>
      <c r="V28" s="238"/>
      <c r="W28" s="238"/>
      <c r="X28" s="238"/>
      <c r="Y28" s="238"/>
      <c r="Z28" s="238"/>
      <c r="AA28" s="238"/>
      <c r="AB28" s="238"/>
      <c r="AC28" s="238"/>
      <c r="AD28" s="238"/>
      <c r="AE28" s="235">
        <f t="shared" si="12"/>
        <v>0</v>
      </c>
      <c r="AF28" s="238"/>
      <c r="AG28" s="368"/>
    </row>
    <row r="29" spans="1:33" ht="25.5" customHeight="1">
      <c r="A29" s="239">
        <v>8</v>
      </c>
      <c r="B29" s="364" t="s">
        <v>262</v>
      </c>
      <c r="C29" s="238">
        <f t="shared" si="8"/>
        <v>0</v>
      </c>
      <c r="D29" s="238">
        <f t="shared" si="3"/>
        <v>0</v>
      </c>
      <c r="E29" s="238"/>
      <c r="F29" s="238"/>
      <c r="G29" s="238"/>
      <c r="H29" s="238"/>
      <c r="I29" s="238"/>
      <c r="J29" s="238"/>
      <c r="K29" s="238"/>
      <c r="L29" s="238"/>
      <c r="M29" s="238"/>
      <c r="N29" s="238"/>
      <c r="O29" s="238"/>
      <c r="P29" s="238"/>
      <c r="Q29" s="64">
        <f t="shared" si="4"/>
        <v>0</v>
      </c>
      <c r="R29" s="235">
        <f t="shared" si="11"/>
        <v>0</v>
      </c>
      <c r="S29" s="238"/>
      <c r="T29" s="238"/>
      <c r="U29" s="238"/>
      <c r="V29" s="238"/>
      <c r="W29" s="238"/>
      <c r="X29" s="238"/>
      <c r="Y29" s="238"/>
      <c r="Z29" s="238"/>
      <c r="AA29" s="238"/>
      <c r="AB29" s="238"/>
      <c r="AC29" s="238"/>
      <c r="AD29" s="238"/>
      <c r="AE29" s="235">
        <f t="shared" si="12"/>
        <v>0</v>
      </c>
      <c r="AF29" s="238"/>
      <c r="AG29" s="368"/>
    </row>
    <row r="30" spans="1:33" ht="25.5" customHeight="1">
      <c r="A30" s="239">
        <v>9</v>
      </c>
      <c r="B30" s="364" t="s">
        <v>263</v>
      </c>
      <c r="C30" s="238">
        <f t="shared" si="8"/>
        <v>9502</v>
      </c>
      <c r="D30" s="238">
        <f t="shared" si="3"/>
        <v>4502</v>
      </c>
      <c r="E30" s="238"/>
      <c r="F30" s="238">
        <v>430</v>
      </c>
      <c r="G30" s="238">
        <f>552+242</f>
        <v>794</v>
      </c>
      <c r="H30" s="238"/>
      <c r="I30" s="238">
        <v>500</v>
      </c>
      <c r="J30" s="238">
        <v>1158</v>
      </c>
      <c r="K30" s="238"/>
      <c r="L30" s="238"/>
      <c r="M30" s="238"/>
      <c r="N30" s="238"/>
      <c r="O30" s="238">
        <v>1620</v>
      </c>
      <c r="P30" s="238"/>
      <c r="Q30" s="64">
        <f t="shared" si="4"/>
        <v>4502</v>
      </c>
      <c r="R30" s="235">
        <f t="shared" si="11"/>
        <v>5000</v>
      </c>
      <c r="S30" s="238"/>
      <c r="T30" s="238"/>
      <c r="U30" s="238"/>
      <c r="V30" s="238"/>
      <c r="W30" s="238"/>
      <c r="X30" s="238"/>
      <c r="Y30" s="238"/>
      <c r="Z30" s="238"/>
      <c r="AA30" s="238"/>
      <c r="AB30" s="238">
        <v>5000</v>
      </c>
      <c r="AC30" s="238"/>
      <c r="AD30" s="238"/>
      <c r="AE30" s="235">
        <f t="shared" si="12"/>
        <v>5000</v>
      </c>
      <c r="AF30" s="238"/>
      <c r="AG30" s="368"/>
    </row>
    <row r="31" spans="1:33" ht="25.5" customHeight="1">
      <c r="A31" s="239">
        <v>10</v>
      </c>
      <c r="B31" s="364" t="s">
        <v>264</v>
      </c>
      <c r="C31" s="238">
        <f t="shared" si="8"/>
        <v>263</v>
      </c>
      <c r="D31" s="238">
        <f t="shared" si="3"/>
        <v>263</v>
      </c>
      <c r="E31" s="238"/>
      <c r="F31" s="238"/>
      <c r="G31" s="238">
        <v>88</v>
      </c>
      <c r="H31" s="238"/>
      <c r="I31" s="238">
        <v>111</v>
      </c>
      <c r="J31" s="238">
        <v>64</v>
      </c>
      <c r="K31" s="238"/>
      <c r="L31" s="238"/>
      <c r="M31" s="238"/>
      <c r="N31" s="238"/>
      <c r="O31" s="238"/>
      <c r="P31" s="238"/>
      <c r="Q31" s="64">
        <f t="shared" si="4"/>
        <v>263</v>
      </c>
      <c r="R31" s="235">
        <f t="shared" si="11"/>
        <v>0</v>
      </c>
      <c r="S31" s="238"/>
      <c r="T31" s="238"/>
      <c r="U31" s="238"/>
      <c r="V31" s="238"/>
      <c r="W31" s="238"/>
      <c r="X31" s="238"/>
      <c r="Y31" s="238"/>
      <c r="Z31" s="238"/>
      <c r="AA31" s="238"/>
      <c r="AB31" s="238"/>
      <c r="AC31" s="238"/>
      <c r="AD31" s="238"/>
      <c r="AE31" s="235">
        <f t="shared" si="12"/>
        <v>0</v>
      </c>
      <c r="AF31" s="238"/>
      <c r="AG31" s="368"/>
    </row>
    <row r="32" spans="1:33" ht="25.5" customHeight="1">
      <c r="A32" s="239">
        <v>11</v>
      </c>
      <c r="B32" s="364" t="s">
        <v>472</v>
      </c>
      <c r="C32" s="238">
        <f t="shared" si="8"/>
        <v>960</v>
      </c>
      <c r="D32" s="238">
        <f t="shared" si="3"/>
        <v>960</v>
      </c>
      <c r="E32" s="238">
        <v>960</v>
      </c>
      <c r="F32" s="238"/>
      <c r="G32" s="238"/>
      <c r="H32" s="238"/>
      <c r="I32" s="238"/>
      <c r="J32" s="238"/>
      <c r="K32" s="238"/>
      <c r="L32" s="238"/>
      <c r="M32" s="238"/>
      <c r="N32" s="238"/>
      <c r="O32" s="238"/>
      <c r="P32" s="238"/>
      <c r="Q32" s="64">
        <f t="shared" si="4"/>
        <v>0</v>
      </c>
      <c r="R32" s="235">
        <f t="shared" si="11"/>
        <v>0</v>
      </c>
      <c r="S32" s="238"/>
      <c r="T32" s="238"/>
      <c r="U32" s="238"/>
      <c r="V32" s="238"/>
      <c r="W32" s="238"/>
      <c r="X32" s="238"/>
      <c r="Y32" s="238"/>
      <c r="Z32" s="238"/>
      <c r="AA32" s="238"/>
      <c r="AB32" s="238"/>
      <c r="AC32" s="238"/>
      <c r="AD32" s="238"/>
      <c r="AE32" s="235">
        <f t="shared" si="12"/>
        <v>0</v>
      </c>
      <c r="AF32" s="238"/>
      <c r="AG32" s="368"/>
    </row>
    <row r="33" spans="1:33" ht="25.5" customHeight="1">
      <c r="A33" s="239">
        <v>12</v>
      </c>
      <c r="B33" s="364" t="s">
        <v>265</v>
      </c>
      <c r="C33" s="238">
        <f t="shared" si="8"/>
        <v>0</v>
      </c>
      <c r="D33" s="238">
        <f t="shared" si="3"/>
        <v>0</v>
      </c>
      <c r="E33" s="238"/>
      <c r="F33" s="238"/>
      <c r="G33" s="238"/>
      <c r="H33" s="238"/>
      <c r="I33" s="238"/>
      <c r="J33" s="238"/>
      <c r="K33" s="238"/>
      <c r="L33" s="238"/>
      <c r="M33" s="238"/>
      <c r="N33" s="238"/>
      <c r="O33" s="238"/>
      <c r="P33" s="238"/>
      <c r="Q33" s="64">
        <f t="shared" si="4"/>
        <v>0</v>
      </c>
      <c r="R33" s="235">
        <f t="shared" si="11"/>
        <v>0</v>
      </c>
      <c r="S33" s="238"/>
      <c r="T33" s="238"/>
      <c r="U33" s="238"/>
      <c r="V33" s="238"/>
      <c r="W33" s="238"/>
      <c r="X33" s="238"/>
      <c r="Y33" s="238"/>
      <c r="Z33" s="238"/>
      <c r="AA33" s="238"/>
      <c r="AB33" s="238"/>
      <c r="AC33" s="238"/>
      <c r="AD33" s="238"/>
      <c r="AE33" s="235">
        <f t="shared" si="12"/>
        <v>0</v>
      </c>
      <c r="AF33" s="238"/>
      <c r="AG33" s="368"/>
    </row>
    <row r="34" spans="1:33" ht="25.5" customHeight="1">
      <c r="A34" s="239">
        <v>13</v>
      </c>
      <c r="B34" s="364" t="s">
        <v>266</v>
      </c>
      <c r="C34" s="238">
        <f t="shared" si="8"/>
        <v>38</v>
      </c>
      <c r="D34" s="238">
        <f t="shared" si="3"/>
        <v>38</v>
      </c>
      <c r="E34" s="238"/>
      <c r="F34" s="238"/>
      <c r="G34" s="238"/>
      <c r="H34" s="238"/>
      <c r="I34" s="238">
        <v>38</v>
      </c>
      <c r="J34" s="238"/>
      <c r="K34" s="238"/>
      <c r="L34" s="238"/>
      <c r="M34" s="238"/>
      <c r="N34" s="238"/>
      <c r="O34" s="238"/>
      <c r="P34" s="238"/>
      <c r="Q34" s="64">
        <f t="shared" si="4"/>
        <v>38</v>
      </c>
      <c r="R34" s="235">
        <f t="shared" si="11"/>
        <v>0</v>
      </c>
      <c r="S34" s="238"/>
      <c r="T34" s="238"/>
      <c r="U34" s="238"/>
      <c r="V34" s="238"/>
      <c r="W34" s="238"/>
      <c r="X34" s="238"/>
      <c r="Y34" s="238"/>
      <c r="Z34" s="238"/>
      <c r="AA34" s="238"/>
      <c r="AB34" s="238"/>
      <c r="AC34" s="238"/>
      <c r="AD34" s="238"/>
      <c r="AE34" s="235">
        <f t="shared" si="12"/>
        <v>0</v>
      </c>
      <c r="AF34" s="238"/>
      <c r="AG34" s="368"/>
    </row>
    <row r="35" spans="1:33" ht="25.5" customHeight="1">
      <c r="A35" s="239">
        <v>14</v>
      </c>
      <c r="B35" s="364" t="s">
        <v>267</v>
      </c>
      <c r="C35" s="238">
        <f t="shared" si="8"/>
        <v>13496</v>
      </c>
      <c r="D35" s="238">
        <f t="shared" si="3"/>
        <v>13496</v>
      </c>
      <c r="E35" s="238">
        <f>4690+2000+1000+700</f>
        <v>8390</v>
      </c>
      <c r="F35" s="238"/>
      <c r="G35" s="238">
        <v>190</v>
      </c>
      <c r="H35" s="238">
        <v>48</v>
      </c>
      <c r="I35" s="238">
        <f>24+10+980</f>
        <v>1014</v>
      </c>
      <c r="J35" s="238"/>
      <c r="K35" s="238"/>
      <c r="L35" s="238">
        <f>522+3295</f>
        <v>3817</v>
      </c>
      <c r="M35" s="238">
        <f>20+17</f>
        <v>37</v>
      </c>
      <c r="N35" s="238"/>
      <c r="O35" s="238"/>
      <c r="P35" s="238"/>
      <c r="Q35" s="64">
        <f t="shared" si="4"/>
        <v>5106</v>
      </c>
      <c r="R35" s="235">
        <f t="shared" si="11"/>
        <v>0</v>
      </c>
      <c r="S35" s="238"/>
      <c r="T35" s="238"/>
      <c r="U35" s="238"/>
      <c r="V35" s="238"/>
      <c r="W35" s="238"/>
      <c r="X35" s="238"/>
      <c r="Y35" s="238"/>
      <c r="Z35" s="238"/>
      <c r="AA35" s="238"/>
      <c r="AB35" s="238"/>
      <c r="AC35" s="238"/>
      <c r="AD35" s="238"/>
      <c r="AE35" s="235">
        <f t="shared" si="12"/>
        <v>0</v>
      </c>
      <c r="AF35" s="238"/>
      <c r="AG35" s="368"/>
    </row>
    <row r="36" spans="1:33" ht="25.5" customHeight="1">
      <c r="A36" s="239">
        <v>15</v>
      </c>
      <c r="B36" s="364" t="s">
        <v>268</v>
      </c>
      <c r="C36" s="238">
        <f t="shared" si="8"/>
        <v>1088</v>
      </c>
      <c r="D36" s="238">
        <f t="shared" si="3"/>
        <v>0</v>
      </c>
      <c r="E36" s="238"/>
      <c r="F36" s="238"/>
      <c r="G36" s="238"/>
      <c r="H36" s="238"/>
      <c r="I36" s="238"/>
      <c r="J36" s="238"/>
      <c r="K36" s="238"/>
      <c r="L36" s="238"/>
      <c r="M36" s="238"/>
      <c r="N36" s="238"/>
      <c r="O36" s="238"/>
      <c r="P36" s="238"/>
      <c r="Q36" s="64">
        <f t="shared" si="4"/>
        <v>0</v>
      </c>
      <c r="R36" s="235">
        <f t="shared" si="11"/>
        <v>1088</v>
      </c>
      <c r="S36" s="238"/>
      <c r="T36" s="238"/>
      <c r="U36" s="238"/>
      <c r="V36" s="238">
        <f>475+283</f>
        <v>758</v>
      </c>
      <c r="W36" s="238"/>
      <c r="X36" s="238">
        <f>150+120+60</f>
        <v>330</v>
      </c>
      <c r="Y36" s="238"/>
      <c r="Z36" s="238"/>
      <c r="AA36" s="238"/>
      <c r="AB36" s="238"/>
      <c r="AC36" s="238"/>
      <c r="AD36" s="238"/>
      <c r="AE36" s="235">
        <f t="shared" si="12"/>
        <v>1088</v>
      </c>
      <c r="AF36" s="238"/>
      <c r="AG36" s="368"/>
    </row>
    <row r="37" spans="1:33" ht="25.5" customHeight="1">
      <c r="A37" s="239">
        <v>16</v>
      </c>
      <c r="B37" s="364" t="s">
        <v>269</v>
      </c>
      <c r="C37" s="238">
        <f t="shared" si="8"/>
        <v>1110</v>
      </c>
      <c r="D37" s="238">
        <f t="shared" si="3"/>
        <v>869</v>
      </c>
      <c r="E37" s="238"/>
      <c r="F37" s="238"/>
      <c r="G37" s="238"/>
      <c r="H37" s="238"/>
      <c r="I37" s="238"/>
      <c r="J37" s="238"/>
      <c r="K37" s="238"/>
      <c r="L37" s="238">
        <v>85</v>
      </c>
      <c r="M37" s="238"/>
      <c r="N37" s="238"/>
      <c r="O37" s="238"/>
      <c r="P37" s="238">
        <v>784</v>
      </c>
      <c r="Q37" s="64">
        <f t="shared" si="4"/>
        <v>869</v>
      </c>
      <c r="R37" s="235">
        <f t="shared" si="11"/>
        <v>241</v>
      </c>
      <c r="S37" s="238"/>
      <c r="T37" s="238"/>
      <c r="U37" s="238"/>
      <c r="V37" s="238"/>
      <c r="W37" s="238"/>
      <c r="X37" s="238"/>
      <c r="Y37" s="238"/>
      <c r="Z37" s="238"/>
      <c r="AA37" s="238"/>
      <c r="AB37" s="238"/>
      <c r="AC37" s="238"/>
      <c r="AD37" s="238">
        <v>241</v>
      </c>
      <c r="AE37" s="235">
        <f t="shared" si="12"/>
        <v>241</v>
      </c>
      <c r="AF37" s="238"/>
      <c r="AG37" s="368"/>
    </row>
    <row r="38" spans="1:33" ht="30" customHeight="1">
      <c r="A38" s="239">
        <v>17</v>
      </c>
      <c r="B38" s="364" t="s">
        <v>270</v>
      </c>
      <c r="C38" s="238">
        <f t="shared" si="8"/>
        <v>0</v>
      </c>
      <c r="D38" s="238">
        <f t="shared" si="3"/>
        <v>0</v>
      </c>
      <c r="E38" s="238"/>
      <c r="F38" s="238"/>
      <c r="G38" s="238"/>
      <c r="H38" s="238"/>
      <c r="I38" s="238"/>
      <c r="J38" s="238"/>
      <c r="K38" s="238"/>
      <c r="L38" s="238"/>
      <c r="M38" s="238"/>
      <c r="N38" s="238"/>
      <c r="O38" s="238"/>
      <c r="P38" s="238"/>
      <c r="Q38" s="64">
        <f t="shared" si="4"/>
        <v>0</v>
      </c>
      <c r="R38" s="235">
        <f t="shared" si="11"/>
        <v>0</v>
      </c>
      <c r="S38" s="238"/>
      <c r="T38" s="238"/>
      <c r="U38" s="238"/>
      <c r="V38" s="238">
        <v>0</v>
      </c>
      <c r="W38" s="238"/>
      <c r="X38" s="238"/>
      <c r="Y38" s="238"/>
      <c r="Z38" s="238"/>
      <c r="AA38" s="238"/>
      <c r="AB38" s="238"/>
      <c r="AC38" s="238"/>
      <c r="AD38" s="238">
        <v>0</v>
      </c>
      <c r="AE38" s="235">
        <f t="shared" si="12"/>
        <v>0</v>
      </c>
      <c r="AF38" s="238"/>
      <c r="AG38" s="368"/>
    </row>
    <row r="39" spans="1:33" s="66" customFormat="1" ht="27.75" customHeight="1">
      <c r="A39" s="244" t="s">
        <v>159</v>
      </c>
      <c r="B39" s="365" t="s">
        <v>473</v>
      </c>
      <c r="C39" s="242">
        <f t="shared" si="8"/>
        <v>463754</v>
      </c>
      <c r="D39" s="242">
        <f t="shared" si="3"/>
        <v>88202</v>
      </c>
      <c r="E39" s="242">
        <f aca="true" t="shared" si="13" ref="E39:P39">E9-E15</f>
        <v>76784</v>
      </c>
      <c r="F39" s="242">
        <f t="shared" si="13"/>
        <v>386</v>
      </c>
      <c r="G39" s="242">
        <f t="shared" si="13"/>
        <v>0</v>
      </c>
      <c r="H39" s="242">
        <f t="shared" si="13"/>
        <v>6167</v>
      </c>
      <c r="I39" s="242">
        <f t="shared" si="13"/>
        <v>795</v>
      </c>
      <c r="J39" s="242">
        <f t="shared" si="13"/>
        <v>0</v>
      </c>
      <c r="K39" s="242">
        <f t="shared" si="13"/>
        <v>925</v>
      </c>
      <c r="L39" s="242">
        <f t="shared" si="13"/>
        <v>874</v>
      </c>
      <c r="M39" s="242">
        <f t="shared" si="13"/>
        <v>435</v>
      </c>
      <c r="N39" s="242">
        <f t="shared" si="13"/>
        <v>343</v>
      </c>
      <c r="O39" s="242">
        <f t="shared" si="13"/>
        <v>1347</v>
      </c>
      <c r="P39" s="242">
        <f t="shared" si="13"/>
        <v>146</v>
      </c>
      <c r="Q39" s="242">
        <f t="shared" si="4"/>
        <v>11418</v>
      </c>
      <c r="R39" s="242">
        <f t="shared" si="11"/>
        <v>375552</v>
      </c>
      <c r="S39" s="243">
        <f aca="true" t="shared" si="14" ref="S39:AD39">S9-S15</f>
        <v>209912</v>
      </c>
      <c r="T39" s="369">
        <f t="shared" si="14"/>
        <v>71103</v>
      </c>
      <c r="U39" s="369">
        <f t="shared" si="14"/>
        <v>5411</v>
      </c>
      <c r="V39" s="369">
        <f t="shared" si="14"/>
        <v>58735</v>
      </c>
      <c r="W39" s="369">
        <f t="shared" si="14"/>
        <v>3659</v>
      </c>
      <c r="X39" s="369">
        <f t="shared" si="14"/>
        <v>0</v>
      </c>
      <c r="Y39" s="369">
        <f t="shared" si="14"/>
        <v>6730</v>
      </c>
      <c r="Z39" s="369">
        <f t="shared" si="14"/>
        <v>70</v>
      </c>
      <c r="AA39" s="369">
        <f t="shared" si="14"/>
        <v>5243</v>
      </c>
      <c r="AB39" s="369">
        <f t="shared" si="14"/>
        <v>41</v>
      </c>
      <c r="AC39" s="369">
        <f t="shared" si="14"/>
        <v>1011</v>
      </c>
      <c r="AD39" s="369">
        <f t="shared" si="14"/>
        <v>13637</v>
      </c>
      <c r="AE39" s="243">
        <f>SUM(T39:AD39)</f>
        <v>165640</v>
      </c>
      <c r="AF39" s="242"/>
      <c r="AG39" s="370"/>
    </row>
    <row r="40" spans="3:23" ht="15.75">
      <c r="C40" s="56"/>
      <c r="D40" s="56"/>
      <c r="E40" s="56"/>
      <c r="F40" s="56"/>
      <c r="G40" s="56"/>
      <c r="H40" s="56"/>
      <c r="I40" s="56"/>
      <c r="J40" s="56"/>
      <c r="K40" s="56"/>
      <c r="L40" s="56"/>
      <c r="M40" s="56"/>
      <c r="N40" s="56"/>
      <c r="O40" s="56"/>
      <c r="P40" s="56"/>
      <c r="Q40" s="56"/>
      <c r="R40" s="56"/>
      <c r="S40" s="67"/>
      <c r="T40" s="68"/>
      <c r="U40" s="68"/>
      <c r="V40" s="68"/>
      <c r="W40" s="68"/>
    </row>
    <row r="41" spans="2:32" ht="15.75" customHeight="1" hidden="1">
      <c r="B41" s="69"/>
      <c r="C41" s="56"/>
      <c r="D41" s="56"/>
      <c r="E41" s="56"/>
      <c r="F41" s="56"/>
      <c r="G41" s="56"/>
      <c r="H41" s="56"/>
      <c r="I41" s="56"/>
      <c r="J41" s="56"/>
      <c r="K41" s="56"/>
      <c r="L41" s="56"/>
      <c r="M41" s="56"/>
      <c r="N41" s="56"/>
      <c r="O41" s="56"/>
      <c r="P41" s="56"/>
      <c r="Q41" s="56"/>
      <c r="R41" s="56"/>
      <c r="S41" s="553" t="s">
        <v>379</v>
      </c>
      <c r="T41" s="553"/>
      <c r="U41" s="553"/>
      <c r="V41" s="553"/>
      <c r="W41" s="553"/>
      <c r="X41" s="553"/>
      <c r="Y41" s="553"/>
      <c r="Z41" s="553"/>
      <c r="AA41" s="553"/>
      <c r="AB41" s="553"/>
      <c r="AC41" s="553"/>
      <c r="AD41" s="553"/>
      <c r="AE41" s="553"/>
      <c r="AF41" s="553"/>
    </row>
    <row r="42" spans="2:32" ht="15.75" customHeight="1" hidden="1">
      <c r="B42" s="69" t="s">
        <v>336</v>
      </c>
      <c r="C42" s="56"/>
      <c r="D42" s="56"/>
      <c r="E42" s="56"/>
      <c r="F42" s="56"/>
      <c r="G42" s="56"/>
      <c r="H42" s="56"/>
      <c r="I42" s="56"/>
      <c r="J42" s="56"/>
      <c r="K42" s="56"/>
      <c r="L42" s="56"/>
      <c r="M42" s="56"/>
      <c r="N42" s="56"/>
      <c r="O42" s="56"/>
      <c r="P42" s="56"/>
      <c r="Q42" s="56"/>
      <c r="R42" s="56"/>
      <c r="S42" s="554" t="s">
        <v>337</v>
      </c>
      <c r="T42" s="554"/>
      <c r="U42" s="554"/>
      <c r="V42" s="554"/>
      <c r="W42" s="554"/>
      <c r="X42" s="554"/>
      <c r="Y42" s="554"/>
      <c r="Z42" s="554"/>
      <c r="AA42" s="554"/>
      <c r="AB42" s="554"/>
      <c r="AC42" s="554"/>
      <c r="AD42" s="554"/>
      <c r="AE42" s="554"/>
      <c r="AF42" s="554"/>
    </row>
    <row r="43" spans="3:31" ht="15" hidden="1">
      <c r="C43" s="56"/>
      <c r="D43" s="56"/>
      <c r="E43" s="56"/>
      <c r="F43" s="56"/>
      <c r="G43" s="56"/>
      <c r="H43" s="56"/>
      <c r="I43" s="56"/>
      <c r="J43" s="56"/>
      <c r="K43" s="56"/>
      <c r="L43" s="56"/>
      <c r="M43" s="56"/>
      <c r="N43" s="56"/>
      <c r="O43" s="56"/>
      <c r="P43" s="56"/>
      <c r="Q43" s="56"/>
      <c r="R43" s="56"/>
      <c r="S43" s="71"/>
      <c r="T43" s="71"/>
      <c r="U43" s="71"/>
      <c r="V43" s="71"/>
      <c r="W43" s="71"/>
      <c r="X43" s="54"/>
      <c r="Y43" s="54"/>
      <c r="Z43" s="54"/>
      <c r="AA43" s="54"/>
      <c r="AB43" s="54"/>
      <c r="AC43" s="54"/>
      <c r="AD43" s="54"/>
      <c r="AE43" s="54"/>
    </row>
    <row r="44" spans="3:31" ht="15" hidden="1">
      <c r="C44" s="56"/>
      <c r="D44" s="56"/>
      <c r="E44" s="56"/>
      <c r="F44" s="56"/>
      <c r="G44" s="56"/>
      <c r="H44" s="56"/>
      <c r="I44" s="56"/>
      <c r="J44" s="56"/>
      <c r="K44" s="56"/>
      <c r="L44" s="56"/>
      <c r="M44" s="56"/>
      <c r="N44" s="56"/>
      <c r="O44" s="56"/>
      <c r="P44" s="56"/>
      <c r="Q44" s="56"/>
      <c r="R44" s="56"/>
      <c r="S44" s="71"/>
      <c r="T44" s="71"/>
      <c r="U44" s="71"/>
      <c r="V44" s="71"/>
      <c r="W44" s="71"/>
      <c r="X44" s="54"/>
      <c r="Y44" s="54"/>
      <c r="Z44" s="54"/>
      <c r="AA44" s="54"/>
      <c r="AB44" s="54"/>
      <c r="AC44" s="54"/>
      <c r="AD44" s="54"/>
      <c r="AE44" s="54"/>
    </row>
    <row r="45" spans="3:31" ht="15" hidden="1">
      <c r="C45" s="56"/>
      <c r="D45" s="56"/>
      <c r="E45" s="56"/>
      <c r="F45" s="56"/>
      <c r="G45" s="56"/>
      <c r="H45" s="56"/>
      <c r="I45" s="56"/>
      <c r="J45" s="56"/>
      <c r="K45" s="56"/>
      <c r="L45" s="56"/>
      <c r="M45" s="56"/>
      <c r="N45" s="56"/>
      <c r="O45" s="56"/>
      <c r="P45" s="56"/>
      <c r="Q45" s="56"/>
      <c r="R45" s="56"/>
      <c r="S45" s="71"/>
      <c r="T45" s="71"/>
      <c r="U45" s="71"/>
      <c r="V45" s="71"/>
      <c r="W45" s="71"/>
      <c r="X45" s="54"/>
      <c r="Y45" s="54"/>
      <c r="Z45" s="54"/>
      <c r="AA45" s="54"/>
      <c r="AB45" s="54"/>
      <c r="AC45" s="54"/>
      <c r="AD45" s="54"/>
      <c r="AE45" s="54"/>
    </row>
    <row r="46" spans="3:32" ht="17.25" hidden="1">
      <c r="C46" s="56"/>
      <c r="D46" s="56"/>
      <c r="E46" s="56"/>
      <c r="F46" s="56"/>
      <c r="G46" s="56"/>
      <c r="H46" s="56"/>
      <c r="I46" s="56"/>
      <c r="J46" s="56"/>
      <c r="K46" s="56"/>
      <c r="L46" s="56"/>
      <c r="M46" s="56"/>
      <c r="N46" s="56"/>
      <c r="O46" s="56"/>
      <c r="P46" s="56"/>
      <c r="Q46" s="56"/>
      <c r="R46" s="56"/>
      <c r="S46" s="71"/>
      <c r="T46" s="70"/>
      <c r="U46" s="70"/>
      <c r="V46" s="70"/>
      <c r="W46" s="70"/>
      <c r="X46" s="70"/>
      <c r="Y46" s="70"/>
      <c r="Z46" s="70"/>
      <c r="AA46" s="70"/>
      <c r="AB46" s="70"/>
      <c r="AC46" s="70"/>
      <c r="AD46" s="70"/>
      <c r="AE46" s="70"/>
      <c r="AF46" s="70"/>
    </row>
    <row r="47" spans="3:31" ht="15" hidden="1">
      <c r="C47" s="56"/>
      <c r="D47" s="56"/>
      <c r="E47" s="56"/>
      <c r="F47" s="56"/>
      <c r="G47" s="56"/>
      <c r="H47" s="56"/>
      <c r="I47" s="56"/>
      <c r="J47" s="56"/>
      <c r="K47" s="56"/>
      <c r="L47" s="56"/>
      <c r="M47" s="56"/>
      <c r="N47" s="56"/>
      <c r="O47" s="56"/>
      <c r="P47" s="56"/>
      <c r="Q47" s="56"/>
      <c r="R47" s="56"/>
      <c r="S47" s="71"/>
      <c r="T47" s="54"/>
      <c r="U47" s="54"/>
      <c r="V47" s="54"/>
      <c r="W47" s="54"/>
      <c r="X47" s="54"/>
      <c r="Y47" s="54"/>
      <c r="Z47" s="54"/>
      <c r="AA47" s="54"/>
      <c r="AB47" s="54"/>
      <c r="AC47" s="54"/>
      <c r="AD47" s="54"/>
      <c r="AE47" s="54"/>
    </row>
    <row r="48" spans="2:32" s="58" customFormat="1" ht="15" hidden="1">
      <c r="B48" s="113" t="s">
        <v>367</v>
      </c>
      <c r="S48" s="562" t="s">
        <v>338</v>
      </c>
      <c r="T48" s="562"/>
      <c r="U48" s="562"/>
      <c r="V48" s="562"/>
      <c r="W48" s="562"/>
      <c r="X48" s="562"/>
      <c r="Y48" s="562"/>
      <c r="Z48" s="562"/>
      <c r="AA48" s="562"/>
      <c r="AB48" s="562"/>
      <c r="AC48" s="562"/>
      <c r="AD48" s="562"/>
      <c r="AE48" s="562"/>
      <c r="AF48" s="562"/>
    </row>
  </sheetData>
  <sheetProtection/>
  <mergeCells count="16">
    <mergeCell ref="AG6:AG7"/>
    <mergeCell ref="S41:AF41"/>
    <mergeCell ref="S42:AF42"/>
    <mergeCell ref="S48:AF48"/>
    <mergeCell ref="A6:A7"/>
    <mergeCell ref="B6:B7"/>
    <mergeCell ref="C6:C7"/>
    <mergeCell ref="D6:Q6"/>
    <mergeCell ref="R6:AE6"/>
    <mergeCell ref="AF6:AF7"/>
    <mergeCell ref="A1:B1"/>
    <mergeCell ref="S1:AG1"/>
    <mergeCell ref="A2:AG2"/>
    <mergeCell ref="A3:AG3"/>
    <mergeCell ref="A4:AG4"/>
    <mergeCell ref="AF5:AG5"/>
  </mergeCells>
  <printOptions horizontalCentered="1"/>
  <pageMargins left="0.7" right="0.2" top="0.7" bottom="0.5" header="0.31496062992126" footer="0.31496062992126"/>
  <pageSetup horizontalDpi="600" verticalDpi="600" orientation="landscape" paperSize="9" scale="80" r:id="rId4"/>
  <headerFooter differentFirst="1">
    <oddHeader>&amp;C&amp;"Times New Roman,Regular"&amp;P</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T39"/>
  <sheetViews>
    <sheetView zoomScalePageLayoutView="0" workbookViewId="0" topLeftCell="A7">
      <selection activeCell="A32" sqref="A32:IV39"/>
    </sheetView>
  </sheetViews>
  <sheetFormatPr defaultColWidth="9.140625" defaultRowHeight="15"/>
  <cols>
    <col min="1" max="1" width="6.00390625" style="0" customWidth="1"/>
    <col min="2" max="2" width="26.00390625" style="0" customWidth="1"/>
    <col min="3" max="8" width="10.8515625" style="0" customWidth="1"/>
    <col min="9" max="9" width="10.8515625" style="111" customWidth="1"/>
    <col min="10" max="12" width="10.8515625" style="0" customWidth="1"/>
    <col min="13" max="13" width="10.8515625" style="111" customWidth="1"/>
    <col min="14" max="19" width="10.8515625" style="0" customWidth="1"/>
    <col min="20" max="20" width="9.00390625" style="0" customWidth="1"/>
  </cols>
  <sheetData>
    <row r="1" spans="1:20" ht="15">
      <c r="A1" s="576" t="s">
        <v>0</v>
      </c>
      <c r="B1" s="576"/>
      <c r="C1" s="100"/>
      <c r="D1" s="100"/>
      <c r="E1" s="100"/>
      <c r="F1" s="100"/>
      <c r="G1" s="100"/>
      <c r="H1" s="100"/>
      <c r="J1" s="100"/>
      <c r="K1" s="100"/>
      <c r="P1" s="570" t="s">
        <v>321</v>
      </c>
      <c r="Q1" s="570"/>
      <c r="R1" s="570"/>
      <c r="S1" s="570"/>
      <c r="T1" s="570"/>
    </row>
    <row r="2" spans="1:20" ht="19.5" customHeight="1">
      <c r="A2" s="567" t="s">
        <v>384</v>
      </c>
      <c r="B2" s="567"/>
      <c r="C2" s="567"/>
      <c r="D2" s="567"/>
      <c r="E2" s="567"/>
      <c r="F2" s="567"/>
      <c r="G2" s="567"/>
      <c r="H2" s="567"/>
      <c r="I2" s="567"/>
      <c r="J2" s="567"/>
      <c r="K2" s="567"/>
      <c r="L2" s="567"/>
      <c r="M2" s="567"/>
      <c r="N2" s="567"/>
      <c r="O2" s="567"/>
      <c r="P2" s="567"/>
      <c r="Q2" s="567"/>
      <c r="R2" s="567"/>
      <c r="S2" s="567"/>
      <c r="T2" s="567"/>
    </row>
    <row r="3" spans="1:20" ht="19.5" customHeight="1">
      <c r="A3" s="568" t="str">
        <f>'68'!A4:AG4</f>
        <v>(Kèm theo Báo cáo số  571 /BC-UBND ngày  10  tháng 11 năm 2023 của Ủy ban nhân dân tỉnh)</v>
      </c>
      <c r="B3" s="568"/>
      <c r="C3" s="568"/>
      <c r="D3" s="568"/>
      <c r="E3" s="568"/>
      <c r="F3" s="568"/>
      <c r="G3" s="568"/>
      <c r="H3" s="568"/>
      <c r="I3" s="568"/>
      <c r="J3" s="568"/>
      <c r="K3" s="568"/>
      <c r="L3" s="568"/>
      <c r="M3" s="568"/>
      <c r="N3" s="568"/>
      <c r="O3" s="568"/>
      <c r="P3" s="568"/>
      <c r="Q3" s="568"/>
      <c r="R3" s="568"/>
      <c r="S3" s="568"/>
      <c r="T3" s="568"/>
    </row>
    <row r="4" spans="1:20" ht="20.25" customHeight="1">
      <c r="A4" s="100"/>
      <c r="B4" s="100"/>
      <c r="C4" s="100"/>
      <c r="D4" s="100"/>
      <c r="E4" s="100"/>
      <c r="F4" s="100"/>
      <c r="G4" s="100"/>
      <c r="H4" s="100"/>
      <c r="J4" s="100"/>
      <c r="K4" s="100"/>
      <c r="L4" s="100"/>
      <c r="N4" s="100"/>
      <c r="O4" s="100"/>
      <c r="P4" s="100"/>
      <c r="Q4" s="569" t="s">
        <v>2</v>
      </c>
      <c r="R4" s="569"/>
      <c r="S4" s="569"/>
      <c r="T4" s="569"/>
    </row>
    <row r="5" spans="1:20" ht="15" customHeight="1">
      <c r="A5" s="573" t="s">
        <v>48</v>
      </c>
      <c r="B5" s="573" t="s">
        <v>49</v>
      </c>
      <c r="C5" s="577" t="s">
        <v>771</v>
      </c>
      <c r="D5" s="578"/>
      <c r="E5" s="578"/>
      <c r="F5" s="578"/>
      <c r="G5" s="578"/>
      <c r="H5" s="579"/>
      <c r="I5" s="583" t="s">
        <v>385</v>
      </c>
      <c r="J5" s="584"/>
      <c r="K5" s="584"/>
      <c r="L5" s="584"/>
      <c r="M5" s="584"/>
      <c r="N5" s="585"/>
      <c r="O5" s="583" t="s">
        <v>322</v>
      </c>
      <c r="P5" s="584"/>
      <c r="Q5" s="584"/>
      <c r="R5" s="584"/>
      <c r="S5" s="585"/>
      <c r="T5" s="573" t="s">
        <v>232</v>
      </c>
    </row>
    <row r="6" spans="1:20" ht="2.25" customHeight="1">
      <c r="A6" s="574"/>
      <c r="B6" s="574"/>
      <c r="C6" s="580"/>
      <c r="D6" s="581"/>
      <c r="E6" s="581"/>
      <c r="F6" s="581"/>
      <c r="G6" s="581"/>
      <c r="H6" s="582"/>
      <c r="I6" s="586"/>
      <c r="J6" s="587"/>
      <c r="K6" s="587"/>
      <c r="L6" s="587"/>
      <c r="M6" s="587"/>
      <c r="N6" s="588"/>
      <c r="O6" s="586"/>
      <c r="P6" s="587"/>
      <c r="Q6" s="587"/>
      <c r="R6" s="587"/>
      <c r="S6" s="588"/>
      <c r="T6" s="574"/>
    </row>
    <row r="7" spans="1:20" ht="84" customHeight="1">
      <c r="A7" s="575"/>
      <c r="B7" s="575"/>
      <c r="C7" s="99" t="s">
        <v>4</v>
      </c>
      <c r="D7" s="99" t="s">
        <v>772</v>
      </c>
      <c r="E7" s="99" t="s">
        <v>773</v>
      </c>
      <c r="F7" s="99" t="s">
        <v>774</v>
      </c>
      <c r="G7" s="99" t="s">
        <v>775</v>
      </c>
      <c r="H7" s="99" t="s">
        <v>776</v>
      </c>
      <c r="I7" s="99" t="s">
        <v>4</v>
      </c>
      <c r="J7" s="99" t="s">
        <v>777</v>
      </c>
      <c r="K7" s="99" t="s">
        <v>778</v>
      </c>
      <c r="L7" s="99" t="s">
        <v>779</v>
      </c>
      <c r="M7" s="99" t="s">
        <v>780</v>
      </c>
      <c r="N7" s="99" t="s">
        <v>781</v>
      </c>
      <c r="O7" s="99" t="s">
        <v>4</v>
      </c>
      <c r="P7" s="99" t="s">
        <v>773</v>
      </c>
      <c r="Q7" s="99" t="s">
        <v>782</v>
      </c>
      <c r="R7" s="99" t="s">
        <v>783</v>
      </c>
      <c r="S7" s="99" t="s">
        <v>784</v>
      </c>
      <c r="T7" s="575"/>
    </row>
    <row r="8" spans="1:20" ht="27">
      <c r="A8" s="180" t="s">
        <v>15</v>
      </c>
      <c r="B8" s="180" t="s">
        <v>38</v>
      </c>
      <c r="C8" s="194" t="s">
        <v>477</v>
      </c>
      <c r="D8" s="194">
        <v>2</v>
      </c>
      <c r="E8" s="194">
        <v>3</v>
      </c>
      <c r="F8" s="194">
        <v>4</v>
      </c>
      <c r="G8" s="194">
        <v>5</v>
      </c>
      <c r="H8" s="194">
        <v>6</v>
      </c>
      <c r="I8" s="194" t="s">
        <v>478</v>
      </c>
      <c r="J8" s="194">
        <v>8</v>
      </c>
      <c r="K8" s="194">
        <v>9</v>
      </c>
      <c r="L8" s="194">
        <v>10</v>
      </c>
      <c r="M8" s="194">
        <v>11</v>
      </c>
      <c r="N8" s="194">
        <v>12</v>
      </c>
      <c r="O8" s="194" t="s">
        <v>479</v>
      </c>
      <c r="P8" s="194">
        <v>14</v>
      </c>
      <c r="Q8" s="194">
        <v>15</v>
      </c>
      <c r="R8" s="194">
        <v>16</v>
      </c>
      <c r="S8" s="194">
        <v>17</v>
      </c>
      <c r="T8" s="194">
        <v>18</v>
      </c>
    </row>
    <row r="9" spans="1:20" ht="18" customHeight="1">
      <c r="A9" s="181" t="s">
        <v>15</v>
      </c>
      <c r="B9" s="182" t="s">
        <v>323</v>
      </c>
      <c r="C9" s="381">
        <f aca="true" t="shared" si="0" ref="C9:C30">SUM(D9:H9)</f>
        <v>129332.120553</v>
      </c>
      <c r="D9" s="381">
        <f>D10+D11</f>
        <v>104050.950118</v>
      </c>
      <c r="E9" s="381">
        <f>E10+E11</f>
        <v>6459.299999999999</v>
      </c>
      <c r="F9" s="381">
        <f aca="true" t="shared" si="1" ref="F9:S9">F10+F11</f>
        <v>4739.6</v>
      </c>
      <c r="G9" s="381">
        <f t="shared" si="1"/>
        <v>9230.290980999998</v>
      </c>
      <c r="H9" s="381">
        <f t="shared" si="1"/>
        <v>4851.979453999999</v>
      </c>
      <c r="I9" s="381">
        <f>SUM(J9:N9)</f>
        <v>117376.60983399999</v>
      </c>
      <c r="J9" s="381">
        <f>J10+J11</f>
        <v>104050.950118</v>
      </c>
      <c r="K9" s="381">
        <f t="shared" si="1"/>
        <v>5074.9130000000005</v>
      </c>
      <c r="L9" s="381">
        <f t="shared" si="1"/>
        <v>303.996556</v>
      </c>
      <c r="M9" s="381">
        <f t="shared" si="1"/>
        <v>6109.973029</v>
      </c>
      <c r="N9" s="381">
        <f t="shared" si="1"/>
        <v>1836.7771309999998</v>
      </c>
      <c r="O9" s="381">
        <f aca="true" t="shared" si="2" ref="O9:O30">SUM(P9:S9)</f>
        <v>11955.510719</v>
      </c>
      <c r="P9" s="381">
        <f>P10+P11</f>
        <v>1384.3870000000002</v>
      </c>
      <c r="Q9" s="381">
        <f t="shared" si="1"/>
        <v>4435.603444</v>
      </c>
      <c r="R9" s="381">
        <f t="shared" si="1"/>
        <v>3120.3179519999994</v>
      </c>
      <c r="S9" s="381">
        <f t="shared" si="1"/>
        <v>3015.2023229999995</v>
      </c>
      <c r="T9" s="190"/>
    </row>
    <row r="10" spans="1:20" ht="43.5" customHeight="1">
      <c r="A10" s="183">
        <v>1</v>
      </c>
      <c r="B10" s="184" t="s">
        <v>768</v>
      </c>
      <c r="C10" s="382">
        <f t="shared" si="0"/>
        <v>2584.3818090000004</v>
      </c>
      <c r="D10" s="382">
        <v>53.651632</v>
      </c>
      <c r="E10" s="383">
        <v>896.4000000000001</v>
      </c>
      <c r="F10" s="383">
        <v>5.9</v>
      </c>
      <c r="G10" s="383">
        <v>268.3000000000002</v>
      </c>
      <c r="H10" s="383">
        <v>1360.130177</v>
      </c>
      <c r="I10" s="382">
        <f>SUM(J10:N10)</f>
        <v>801.646217</v>
      </c>
      <c r="J10" s="382">
        <v>53.651632</v>
      </c>
      <c r="K10" s="382">
        <v>340.3905</v>
      </c>
      <c r="L10" s="382"/>
      <c r="M10" s="382">
        <v>42.027526</v>
      </c>
      <c r="N10" s="382">
        <f>287.588127+77.988432</f>
        <v>365.576559</v>
      </c>
      <c r="O10" s="382">
        <f t="shared" si="2"/>
        <v>1782.7355920000005</v>
      </c>
      <c r="P10" s="382">
        <f>E10-K10</f>
        <v>556.0095000000001</v>
      </c>
      <c r="Q10" s="382">
        <f>F10-L10</f>
        <v>5.9</v>
      </c>
      <c r="R10" s="382">
        <f>G10-M10</f>
        <v>226.2724740000002</v>
      </c>
      <c r="S10" s="382">
        <f>H10-N10</f>
        <v>994.553618</v>
      </c>
      <c r="T10" s="191"/>
    </row>
    <row r="11" spans="1:20" ht="20.25" customHeight="1">
      <c r="A11" s="183">
        <v>2</v>
      </c>
      <c r="B11" s="184" t="s">
        <v>324</v>
      </c>
      <c r="C11" s="382">
        <f t="shared" si="0"/>
        <v>126747.73874399999</v>
      </c>
      <c r="D11" s="382">
        <f>SUM(D12:D17)</f>
        <v>103997.298486</v>
      </c>
      <c r="E11" s="382">
        <f>SUM(E12:E17)</f>
        <v>5562.9</v>
      </c>
      <c r="F11" s="382">
        <f>SUM(F12:F17)</f>
        <v>4733.700000000001</v>
      </c>
      <c r="G11" s="382">
        <f>SUM(G12:G17)</f>
        <v>8961.990980999999</v>
      </c>
      <c r="H11" s="382">
        <f>SUM(H12:H17)</f>
        <v>3491.8492769999993</v>
      </c>
      <c r="I11" s="382">
        <f aca="true" t="shared" si="3" ref="I11:I30">SUM(J11:N11)</f>
        <v>116574.963617</v>
      </c>
      <c r="J11" s="382">
        <f>SUM(J12:J17)</f>
        <v>103997.298486</v>
      </c>
      <c r="K11" s="382">
        <f>SUM(K12:K17)</f>
        <v>4734.5225</v>
      </c>
      <c r="L11" s="382">
        <f>SUM(L12:L17)</f>
        <v>303.996556</v>
      </c>
      <c r="M11" s="382">
        <f>SUM(M12:M17)</f>
        <v>6067.945503</v>
      </c>
      <c r="N11" s="382">
        <f>SUM(N12:N17)</f>
        <v>1471.200572</v>
      </c>
      <c r="O11" s="382">
        <f t="shared" si="2"/>
        <v>10172.775126999999</v>
      </c>
      <c r="P11" s="382">
        <f>SUM(P12:P17)</f>
        <v>828.3774999999999</v>
      </c>
      <c r="Q11" s="382">
        <f>SUM(Q12:Q17)</f>
        <v>4429.703444000001</v>
      </c>
      <c r="R11" s="382">
        <f>SUM(R12:R17)</f>
        <v>2894.045477999999</v>
      </c>
      <c r="S11" s="382">
        <f>SUM(S12:S17)</f>
        <v>2020.6487049999996</v>
      </c>
      <c r="T11" s="191"/>
    </row>
    <row r="12" spans="1:20" ht="28.5" customHeight="1">
      <c r="A12" s="183" t="s">
        <v>150</v>
      </c>
      <c r="B12" s="184" t="s">
        <v>788</v>
      </c>
      <c r="C12" s="382">
        <f t="shared" si="0"/>
        <v>5097.666013</v>
      </c>
      <c r="D12" s="382">
        <f>2380.972962+196.128</f>
        <v>2577.100962</v>
      </c>
      <c r="E12" s="383">
        <v>630.8000000000001</v>
      </c>
      <c r="F12" s="383">
        <v>815.6</v>
      </c>
      <c r="G12" s="383">
        <v>755.3</v>
      </c>
      <c r="H12" s="383">
        <v>318.865051</v>
      </c>
      <c r="I12" s="382">
        <f t="shared" si="3"/>
        <v>3918.9692590000004</v>
      </c>
      <c r="J12" s="382">
        <f>2380.972962+196.128</f>
        <v>2577.100962</v>
      </c>
      <c r="K12" s="382">
        <v>441.9</v>
      </c>
      <c r="L12" s="384">
        <v>153.910831</v>
      </c>
      <c r="M12" s="382">
        <f>439.147614</f>
        <v>439.147614</v>
      </c>
      <c r="N12" s="382">
        <v>306.909852</v>
      </c>
      <c r="O12" s="382">
        <f t="shared" si="2"/>
        <v>1178.696754</v>
      </c>
      <c r="P12" s="382">
        <f aca="true" t="shared" si="4" ref="P12:S17">E12-K12</f>
        <v>188.9000000000001</v>
      </c>
      <c r="Q12" s="382">
        <f t="shared" si="4"/>
        <v>661.689169</v>
      </c>
      <c r="R12" s="382">
        <f t="shared" si="4"/>
        <v>316.152386</v>
      </c>
      <c r="S12" s="382">
        <f t="shared" si="4"/>
        <v>11.955198999999993</v>
      </c>
      <c r="T12" s="191"/>
    </row>
    <row r="13" spans="1:20" ht="18.75" customHeight="1">
      <c r="A13" s="183" t="s">
        <v>152</v>
      </c>
      <c r="B13" s="184" t="s">
        <v>325</v>
      </c>
      <c r="C13" s="382">
        <f t="shared" si="0"/>
        <v>8310.58261</v>
      </c>
      <c r="D13" s="382">
        <v>380.276384</v>
      </c>
      <c r="E13" s="383">
        <v>1705.5</v>
      </c>
      <c r="F13" s="383">
        <v>1383.8000000000002</v>
      </c>
      <c r="G13" s="383">
        <v>1714.6999999999998</v>
      </c>
      <c r="H13" s="383">
        <v>3126.3062259999997</v>
      </c>
      <c r="I13" s="382">
        <f t="shared" si="3"/>
        <v>4216.72331</v>
      </c>
      <c r="J13" s="382">
        <v>380.276384</v>
      </c>
      <c r="K13" s="382">
        <v>1085.4225000000001</v>
      </c>
      <c r="L13" s="382">
        <f>158.788109-8.702384</f>
        <v>150.085725</v>
      </c>
      <c r="M13" s="382">
        <f>1529.489702+185.22634+41.82609-197.524151-270.011396+147.641396</f>
        <v>1436.647981</v>
      </c>
      <c r="N13" s="382">
        <f>207.752456+416.365+540.173264</f>
        <v>1164.29072</v>
      </c>
      <c r="O13" s="382">
        <f t="shared" si="2"/>
        <v>4093.8592999999996</v>
      </c>
      <c r="P13" s="382">
        <f t="shared" si="4"/>
        <v>620.0774999999999</v>
      </c>
      <c r="Q13" s="382">
        <f t="shared" si="4"/>
        <v>1233.7142750000003</v>
      </c>
      <c r="R13" s="382">
        <f t="shared" si="4"/>
        <v>278.05201899999975</v>
      </c>
      <c r="S13" s="382">
        <f t="shared" si="4"/>
        <v>1962.0155059999997</v>
      </c>
      <c r="T13" s="191"/>
    </row>
    <row r="14" spans="1:20" ht="30" customHeight="1">
      <c r="A14" s="183" t="s">
        <v>209</v>
      </c>
      <c r="B14" s="184" t="s">
        <v>326</v>
      </c>
      <c r="C14" s="382">
        <f t="shared" si="0"/>
        <v>5063.5</v>
      </c>
      <c r="D14" s="382"/>
      <c r="E14" s="383">
        <v>552.0999999999999</v>
      </c>
      <c r="F14" s="383">
        <v>2534.3</v>
      </c>
      <c r="G14" s="383">
        <v>1977.1</v>
      </c>
      <c r="H14" s="383"/>
      <c r="I14" s="382">
        <f t="shared" si="3"/>
        <v>2529.1977190000002</v>
      </c>
      <c r="J14" s="382"/>
      <c r="K14" s="382">
        <v>552.1</v>
      </c>
      <c r="L14" s="382"/>
      <c r="M14" s="382">
        <f>1977.097719</f>
        <v>1977.097719</v>
      </c>
      <c r="N14" s="382"/>
      <c r="O14" s="382">
        <f t="shared" si="2"/>
        <v>2534.302281</v>
      </c>
      <c r="P14" s="382">
        <f t="shared" si="4"/>
        <v>0</v>
      </c>
      <c r="Q14" s="382">
        <f t="shared" si="4"/>
        <v>2534.3</v>
      </c>
      <c r="R14" s="382">
        <f t="shared" si="4"/>
        <v>0.0022809999998116837</v>
      </c>
      <c r="S14" s="382">
        <f t="shared" si="4"/>
        <v>0</v>
      </c>
      <c r="T14" s="191"/>
    </row>
    <row r="15" spans="1:20" ht="18" customHeight="1">
      <c r="A15" s="183" t="s">
        <v>210</v>
      </c>
      <c r="B15" s="184" t="s">
        <v>327</v>
      </c>
      <c r="C15" s="382">
        <f t="shared" si="0"/>
        <v>101039.92114</v>
      </c>
      <c r="D15" s="382">
        <v>101039.92114</v>
      </c>
      <c r="E15" s="383"/>
      <c r="F15" s="383"/>
      <c r="G15" s="383"/>
      <c r="H15" s="383"/>
      <c r="I15" s="382">
        <f t="shared" si="3"/>
        <v>101039.92114</v>
      </c>
      <c r="J15" s="382">
        <v>101039.92114</v>
      </c>
      <c r="K15" s="382"/>
      <c r="L15" s="382"/>
      <c r="M15" s="382"/>
      <c r="N15" s="382"/>
      <c r="O15" s="382">
        <f t="shared" si="2"/>
        <v>0</v>
      </c>
      <c r="P15" s="382">
        <f t="shared" si="4"/>
        <v>0</v>
      </c>
      <c r="Q15" s="382">
        <f t="shared" si="4"/>
        <v>0</v>
      </c>
      <c r="R15" s="382">
        <f t="shared" si="4"/>
        <v>0</v>
      </c>
      <c r="S15" s="382">
        <f t="shared" si="4"/>
        <v>0</v>
      </c>
      <c r="T15" s="191"/>
    </row>
    <row r="16" spans="1:20" ht="30.75" customHeight="1">
      <c r="A16" s="183" t="s">
        <v>211</v>
      </c>
      <c r="B16" s="184" t="s">
        <v>767</v>
      </c>
      <c r="C16" s="382">
        <f t="shared" si="0"/>
        <v>2655.1000000000004</v>
      </c>
      <c r="D16" s="382"/>
      <c r="E16" s="383">
        <v>2655.1000000000004</v>
      </c>
      <c r="F16" s="383"/>
      <c r="G16" s="383"/>
      <c r="H16" s="383"/>
      <c r="I16" s="382">
        <f t="shared" si="3"/>
        <v>2655.1</v>
      </c>
      <c r="J16" s="382"/>
      <c r="K16" s="382">
        <v>2655.1</v>
      </c>
      <c r="L16" s="382"/>
      <c r="M16" s="382"/>
      <c r="N16" s="382"/>
      <c r="O16" s="382">
        <f t="shared" si="2"/>
        <v>0</v>
      </c>
      <c r="P16" s="382">
        <f t="shared" si="4"/>
        <v>0</v>
      </c>
      <c r="Q16" s="382">
        <f t="shared" si="4"/>
        <v>0</v>
      </c>
      <c r="R16" s="382">
        <f t="shared" si="4"/>
        <v>0</v>
      </c>
      <c r="S16" s="382">
        <f t="shared" si="4"/>
        <v>0</v>
      </c>
      <c r="T16" s="191"/>
    </row>
    <row r="17" spans="1:20" ht="18.75" customHeight="1">
      <c r="A17" s="183" t="s">
        <v>212</v>
      </c>
      <c r="B17" s="184" t="s">
        <v>475</v>
      </c>
      <c r="C17" s="382">
        <f t="shared" si="0"/>
        <v>4580.968980999999</v>
      </c>
      <c r="D17" s="382"/>
      <c r="E17" s="383">
        <v>19.400000000000006</v>
      </c>
      <c r="F17" s="383"/>
      <c r="G17" s="383">
        <v>4514.890981</v>
      </c>
      <c r="H17" s="383">
        <v>46.678</v>
      </c>
      <c r="I17" s="382">
        <f t="shared" si="3"/>
        <v>2215.052189</v>
      </c>
      <c r="J17" s="382"/>
      <c r="K17" s="382"/>
      <c r="L17" s="382"/>
      <c r="M17" s="382">
        <v>2215.052189</v>
      </c>
      <c r="N17" s="382"/>
      <c r="O17" s="382">
        <f t="shared" si="2"/>
        <v>2365.9167919999995</v>
      </c>
      <c r="P17" s="382">
        <f t="shared" si="4"/>
        <v>19.400000000000006</v>
      </c>
      <c r="Q17" s="382">
        <f t="shared" si="4"/>
        <v>0</v>
      </c>
      <c r="R17" s="382">
        <f t="shared" si="4"/>
        <v>2299.8387919999996</v>
      </c>
      <c r="S17" s="382">
        <f t="shared" si="4"/>
        <v>46.678</v>
      </c>
      <c r="T17" s="191"/>
    </row>
    <row r="18" spans="1:20" ht="19.5" customHeight="1">
      <c r="A18" s="185" t="s">
        <v>38</v>
      </c>
      <c r="B18" s="186" t="s">
        <v>328</v>
      </c>
      <c r="C18" s="385">
        <f t="shared" si="0"/>
        <v>47126</v>
      </c>
      <c r="D18" s="385">
        <f>D19+D23</f>
        <v>0</v>
      </c>
      <c r="E18" s="385">
        <f>E19+E23</f>
        <v>6535.099999999999</v>
      </c>
      <c r="F18" s="385">
        <f>F19+F23</f>
        <v>24440.300000000003</v>
      </c>
      <c r="G18" s="385">
        <f>G19+G23</f>
        <v>16118.6</v>
      </c>
      <c r="H18" s="385">
        <f>H19+H23</f>
        <v>32</v>
      </c>
      <c r="I18" s="385">
        <f t="shared" si="3"/>
        <v>41257.0953</v>
      </c>
      <c r="J18" s="385">
        <f>J19+J23</f>
        <v>0</v>
      </c>
      <c r="K18" s="385">
        <f>K19+K23</f>
        <v>6535.099999999999</v>
      </c>
      <c r="L18" s="385">
        <f>L19+L23</f>
        <v>20655.972</v>
      </c>
      <c r="M18" s="385">
        <f>M19+M23</f>
        <v>14034.0233</v>
      </c>
      <c r="N18" s="385">
        <f>N19+N23</f>
        <v>32</v>
      </c>
      <c r="O18" s="385">
        <f t="shared" si="2"/>
        <v>5868.904700000002</v>
      </c>
      <c r="P18" s="385">
        <f>P19+P23</f>
        <v>0</v>
      </c>
      <c r="Q18" s="385">
        <f>F18-L18</f>
        <v>3784.3280000000013</v>
      </c>
      <c r="R18" s="385">
        <f>R19+R23</f>
        <v>2084.5767000000005</v>
      </c>
      <c r="S18" s="385">
        <f>H18-N18</f>
        <v>0</v>
      </c>
      <c r="T18" s="192"/>
    </row>
    <row r="19" spans="1:20" s="200" customFormat="1" ht="31.5" customHeight="1">
      <c r="A19" s="185" t="s">
        <v>64</v>
      </c>
      <c r="B19" s="186" t="s">
        <v>769</v>
      </c>
      <c r="C19" s="385">
        <f t="shared" si="0"/>
        <v>9682.6</v>
      </c>
      <c r="D19" s="385">
        <f>SUM(D20:D22)</f>
        <v>0</v>
      </c>
      <c r="E19" s="385">
        <f>SUM(E20:E22)</f>
        <v>965</v>
      </c>
      <c r="F19" s="385">
        <f>SUM(F20:F22)</f>
        <v>0</v>
      </c>
      <c r="G19" s="385">
        <f>SUM(G20:G22)</f>
        <v>8717.6</v>
      </c>
      <c r="H19" s="385">
        <f>SUM(H20:H22)</f>
        <v>0</v>
      </c>
      <c r="I19" s="385">
        <f t="shared" si="3"/>
        <v>7598.0233</v>
      </c>
      <c r="J19" s="385">
        <f>J20+J22</f>
        <v>0</v>
      </c>
      <c r="K19" s="385">
        <f>K20+K22</f>
        <v>965</v>
      </c>
      <c r="L19" s="385">
        <f>L20+L22</f>
        <v>0</v>
      </c>
      <c r="M19" s="385">
        <f>M20+M22</f>
        <v>6633.0233</v>
      </c>
      <c r="N19" s="385">
        <f>N20+N22</f>
        <v>0</v>
      </c>
      <c r="O19" s="385">
        <f t="shared" si="2"/>
        <v>2084.5767000000005</v>
      </c>
      <c r="P19" s="385">
        <f>P20+P22</f>
        <v>0</v>
      </c>
      <c r="Q19" s="385">
        <f>Q20+Q22</f>
        <v>0</v>
      </c>
      <c r="R19" s="385">
        <f>R20+R22</f>
        <v>2084.5767000000005</v>
      </c>
      <c r="S19" s="385">
        <f>S20+S22</f>
        <v>0</v>
      </c>
      <c r="T19" s="192"/>
    </row>
    <row r="20" spans="1:20" ht="21" customHeight="1">
      <c r="A20" s="183">
        <v>1</v>
      </c>
      <c r="B20" s="184" t="s">
        <v>329</v>
      </c>
      <c r="C20" s="382">
        <f t="shared" si="0"/>
        <v>0</v>
      </c>
      <c r="D20" s="382"/>
      <c r="E20" s="382"/>
      <c r="F20" s="382"/>
      <c r="G20" s="382"/>
      <c r="H20" s="382"/>
      <c r="I20" s="382">
        <f t="shared" si="3"/>
        <v>0</v>
      </c>
      <c r="J20" s="382"/>
      <c r="K20" s="382"/>
      <c r="L20" s="382"/>
      <c r="M20" s="382">
        <v>0</v>
      </c>
      <c r="N20" s="382">
        <v>0</v>
      </c>
      <c r="O20" s="382">
        <f t="shared" si="2"/>
        <v>0</v>
      </c>
      <c r="P20" s="382">
        <f aca="true" t="shared" si="5" ref="P20:S22">E20-K20</f>
        <v>0</v>
      </c>
      <c r="Q20" s="382">
        <f t="shared" si="5"/>
        <v>0</v>
      </c>
      <c r="R20" s="382">
        <f t="shared" si="5"/>
        <v>0</v>
      </c>
      <c r="S20" s="382">
        <f t="shared" si="5"/>
        <v>0</v>
      </c>
      <c r="T20" s="191"/>
    </row>
    <row r="21" spans="1:20" ht="42" customHeight="1">
      <c r="A21" s="183">
        <v>2</v>
      </c>
      <c r="B21" s="184" t="s">
        <v>785</v>
      </c>
      <c r="C21" s="382">
        <f t="shared" si="0"/>
        <v>0</v>
      </c>
      <c r="D21" s="382"/>
      <c r="E21" s="382"/>
      <c r="F21" s="382"/>
      <c r="G21" s="382"/>
      <c r="H21" s="382"/>
      <c r="I21" s="382">
        <f t="shared" si="3"/>
        <v>0</v>
      </c>
      <c r="J21" s="382"/>
      <c r="K21" s="382"/>
      <c r="L21" s="382">
        <v>0</v>
      </c>
      <c r="M21" s="382">
        <v>0</v>
      </c>
      <c r="N21" s="382">
        <v>0</v>
      </c>
      <c r="O21" s="382">
        <f t="shared" si="2"/>
        <v>0</v>
      </c>
      <c r="P21" s="382">
        <f t="shared" si="5"/>
        <v>0</v>
      </c>
      <c r="Q21" s="382">
        <f t="shared" si="5"/>
        <v>0</v>
      </c>
      <c r="R21" s="382">
        <f t="shared" si="5"/>
        <v>0</v>
      </c>
      <c r="S21" s="382">
        <f t="shared" si="5"/>
        <v>0</v>
      </c>
      <c r="T21" s="191"/>
    </row>
    <row r="22" spans="1:20" ht="31.5" customHeight="1">
      <c r="A22" s="183">
        <v>3</v>
      </c>
      <c r="B22" s="184" t="s">
        <v>786</v>
      </c>
      <c r="C22" s="382">
        <f t="shared" si="0"/>
        <v>9682.6</v>
      </c>
      <c r="D22" s="382"/>
      <c r="E22" s="382">
        <v>965</v>
      </c>
      <c r="F22" s="382"/>
      <c r="G22" s="383">
        <v>8717.6</v>
      </c>
      <c r="H22" s="382"/>
      <c r="I22" s="382">
        <f t="shared" si="3"/>
        <v>7598.0233</v>
      </c>
      <c r="J22" s="382"/>
      <c r="K22" s="382">
        <v>965</v>
      </c>
      <c r="L22" s="382">
        <v>0</v>
      </c>
      <c r="M22" s="382">
        <v>6633.0233</v>
      </c>
      <c r="N22" s="382"/>
      <c r="O22" s="382">
        <f t="shared" si="2"/>
        <v>2084.5767000000005</v>
      </c>
      <c r="P22" s="382">
        <f t="shared" si="5"/>
        <v>0</v>
      </c>
      <c r="Q22" s="382">
        <f t="shared" si="5"/>
        <v>0</v>
      </c>
      <c r="R22" s="382">
        <f t="shared" si="5"/>
        <v>2084.5767000000005</v>
      </c>
      <c r="S22" s="382">
        <f t="shared" si="5"/>
        <v>0</v>
      </c>
      <c r="T22" s="191"/>
    </row>
    <row r="23" spans="1:20" s="200" customFormat="1" ht="27.75" customHeight="1">
      <c r="A23" s="185" t="s">
        <v>128</v>
      </c>
      <c r="B23" s="186" t="s">
        <v>770</v>
      </c>
      <c r="C23" s="385">
        <f t="shared" si="0"/>
        <v>37443.4</v>
      </c>
      <c r="D23" s="385">
        <f>D24</f>
        <v>0</v>
      </c>
      <c r="E23" s="385">
        <f>SUM(E24:E24)</f>
        <v>5570.099999999999</v>
      </c>
      <c r="F23" s="385">
        <f>SUM(F24:F24)</f>
        <v>24440.300000000003</v>
      </c>
      <c r="G23" s="385">
        <f>G24</f>
        <v>7401</v>
      </c>
      <c r="H23" s="385">
        <f>H24</f>
        <v>32</v>
      </c>
      <c r="I23" s="385">
        <f>SUM(J23:N23)</f>
        <v>33659.072</v>
      </c>
      <c r="J23" s="385"/>
      <c r="K23" s="385">
        <f>K24</f>
        <v>5570.099999999999</v>
      </c>
      <c r="L23" s="385">
        <f>L24</f>
        <v>20655.972</v>
      </c>
      <c r="M23" s="385">
        <f>M24</f>
        <v>7401</v>
      </c>
      <c r="N23" s="385">
        <f>N24</f>
        <v>32</v>
      </c>
      <c r="O23" s="385">
        <f t="shared" si="2"/>
        <v>3784.328</v>
      </c>
      <c r="P23" s="385">
        <f>P24</f>
        <v>0</v>
      </c>
      <c r="Q23" s="385">
        <f>Q24</f>
        <v>3784.328</v>
      </c>
      <c r="R23" s="385">
        <f>R24</f>
        <v>0</v>
      </c>
      <c r="S23" s="385">
        <f>S24</f>
        <v>0</v>
      </c>
      <c r="T23" s="192"/>
    </row>
    <row r="24" spans="1:20" ht="29.25" customHeight="1">
      <c r="A24" s="183">
        <v>1</v>
      </c>
      <c r="B24" s="184" t="s">
        <v>787</v>
      </c>
      <c r="C24" s="382">
        <f t="shared" si="0"/>
        <v>37443.4</v>
      </c>
      <c r="D24" s="382">
        <f>SUM(D25:D30)</f>
        <v>0</v>
      </c>
      <c r="E24" s="382">
        <f>SUM(E25:E30)</f>
        <v>5570.099999999999</v>
      </c>
      <c r="F24" s="382">
        <f>SUM(F25:F30)</f>
        <v>24440.300000000003</v>
      </c>
      <c r="G24" s="382">
        <v>7401</v>
      </c>
      <c r="H24" s="382">
        <f>SUM(H25:H30)</f>
        <v>32</v>
      </c>
      <c r="I24" s="382">
        <f>SUM(I25:I30)</f>
        <v>33659.072</v>
      </c>
      <c r="J24" s="382">
        <f>SUM(J25:J30)</f>
        <v>0</v>
      </c>
      <c r="K24" s="382">
        <f>SUM(K25:K30)</f>
        <v>5570.099999999999</v>
      </c>
      <c r="L24" s="382">
        <f>SUM(L25:L30)</f>
        <v>20655.972</v>
      </c>
      <c r="M24" s="382">
        <v>7401</v>
      </c>
      <c r="N24" s="382">
        <f>SUM(N25:N30)</f>
        <v>32</v>
      </c>
      <c r="O24" s="382">
        <f t="shared" si="2"/>
        <v>3784.328</v>
      </c>
      <c r="P24" s="382">
        <f>SUM(P25:P30)</f>
        <v>0</v>
      </c>
      <c r="Q24" s="382">
        <f>SUM(Q25:Q30)</f>
        <v>3784.328</v>
      </c>
      <c r="R24" s="382">
        <f>G24-M24</f>
        <v>0</v>
      </c>
      <c r="S24" s="382">
        <f>H24-N24</f>
        <v>0</v>
      </c>
      <c r="T24" s="191"/>
    </row>
    <row r="25" spans="1:20" ht="32.25" customHeight="1">
      <c r="A25" s="183" t="s">
        <v>189</v>
      </c>
      <c r="B25" s="184" t="s">
        <v>330</v>
      </c>
      <c r="C25" s="382">
        <f t="shared" si="0"/>
        <v>32</v>
      </c>
      <c r="D25" s="382"/>
      <c r="E25" s="383"/>
      <c r="F25" s="383"/>
      <c r="G25" s="383"/>
      <c r="H25" s="383">
        <v>32</v>
      </c>
      <c r="I25" s="382">
        <f t="shared" si="3"/>
        <v>32</v>
      </c>
      <c r="J25" s="382"/>
      <c r="K25" s="383"/>
      <c r="L25" s="382"/>
      <c r="M25" s="382"/>
      <c r="N25" s="382">
        <v>32</v>
      </c>
      <c r="O25" s="382">
        <f t="shared" si="2"/>
        <v>0</v>
      </c>
      <c r="P25" s="382">
        <f aca="true" t="shared" si="6" ref="P25:Q28">E25-K25</f>
        <v>0</v>
      </c>
      <c r="Q25" s="382">
        <f t="shared" si="6"/>
        <v>0</v>
      </c>
      <c r="R25" s="382"/>
      <c r="S25" s="382">
        <f>H25-N25</f>
        <v>0</v>
      </c>
      <c r="T25" s="191"/>
    </row>
    <row r="26" spans="1:20" ht="28.5" customHeight="1">
      <c r="A26" s="183" t="s">
        <v>191</v>
      </c>
      <c r="B26" s="184" t="s">
        <v>331</v>
      </c>
      <c r="C26" s="382">
        <f t="shared" si="0"/>
        <v>4679.7</v>
      </c>
      <c r="D26" s="382"/>
      <c r="E26" s="383">
        <v>41.700000000000045</v>
      </c>
      <c r="F26" s="383">
        <v>4638</v>
      </c>
      <c r="G26" s="383"/>
      <c r="H26" s="383"/>
      <c r="I26" s="382">
        <f t="shared" si="3"/>
        <v>895.3720000000001</v>
      </c>
      <c r="J26" s="382"/>
      <c r="K26" s="383">
        <v>41.700000000000045</v>
      </c>
      <c r="L26" s="383">
        <v>853.672</v>
      </c>
      <c r="M26" s="382"/>
      <c r="N26" s="382"/>
      <c r="O26" s="382">
        <f t="shared" si="2"/>
        <v>3784.328</v>
      </c>
      <c r="P26" s="382">
        <f t="shared" si="6"/>
        <v>0</v>
      </c>
      <c r="Q26" s="382">
        <f t="shared" si="6"/>
        <v>3784.328</v>
      </c>
      <c r="R26" s="382"/>
      <c r="S26" s="382"/>
      <c r="T26" s="191"/>
    </row>
    <row r="27" spans="1:20" ht="30" customHeight="1">
      <c r="A27" s="183" t="s">
        <v>193</v>
      </c>
      <c r="B27" s="184" t="s">
        <v>332</v>
      </c>
      <c r="C27" s="382">
        <f t="shared" si="0"/>
        <v>5528.4</v>
      </c>
      <c r="D27" s="382"/>
      <c r="E27" s="383">
        <v>5528.4</v>
      </c>
      <c r="F27" s="383"/>
      <c r="G27" s="383"/>
      <c r="H27" s="383"/>
      <c r="I27" s="382">
        <f t="shared" si="3"/>
        <v>5528.4</v>
      </c>
      <c r="J27" s="382"/>
      <c r="K27" s="383">
        <v>5528.4</v>
      </c>
      <c r="L27" s="383"/>
      <c r="M27" s="382"/>
      <c r="N27" s="382"/>
      <c r="O27" s="382">
        <f t="shared" si="2"/>
        <v>0</v>
      </c>
      <c r="P27" s="382">
        <f t="shared" si="6"/>
        <v>0</v>
      </c>
      <c r="Q27" s="382">
        <f t="shared" si="6"/>
        <v>0</v>
      </c>
      <c r="R27" s="382"/>
      <c r="S27" s="382"/>
      <c r="T27" s="191"/>
    </row>
    <row r="28" spans="1:20" ht="19.5" customHeight="1">
      <c r="A28" s="183" t="s">
        <v>194</v>
      </c>
      <c r="B28" s="184" t="s">
        <v>333</v>
      </c>
      <c r="C28" s="382">
        <f t="shared" si="0"/>
        <v>160.6</v>
      </c>
      <c r="D28" s="382"/>
      <c r="E28" s="383"/>
      <c r="F28" s="383">
        <v>160.6</v>
      </c>
      <c r="G28" s="383"/>
      <c r="H28" s="383"/>
      <c r="I28" s="382">
        <f t="shared" si="3"/>
        <v>160.6</v>
      </c>
      <c r="J28" s="382"/>
      <c r="K28" s="383"/>
      <c r="L28" s="383">
        <v>160.6</v>
      </c>
      <c r="M28" s="382"/>
      <c r="N28" s="382"/>
      <c r="O28" s="382">
        <f t="shared" si="2"/>
        <v>0</v>
      </c>
      <c r="P28" s="382">
        <f t="shared" si="6"/>
        <v>0</v>
      </c>
      <c r="Q28" s="382">
        <f t="shared" si="6"/>
        <v>0</v>
      </c>
      <c r="R28" s="382"/>
      <c r="S28" s="382"/>
      <c r="T28" s="191"/>
    </row>
    <row r="29" spans="1:20" ht="31.5" customHeight="1">
      <c r="A29" s="183" t="s">
        <v>195</v>
      </c>
      <c r="B29" s="184" t="s">
        <v>334</v>
      </c>
      <c r="C29" s="382">
        <f t="shared" si="0"/>
        <v>7401</v>
      </c>
      <c r="D29" s="382"/>
      <c r="E29" s="383"/>
      <c r="F29" s="383"/>
      <c r="G29" s="383">
        <v>7401</v>
      </c>
      <c r="H29" s="383"/>
      <c r="I29" s="382">
        <f t="shared" si="3"/>
        <v>7401</v>
      </c>
      <c r="J29" s="382"/>
      <c r="K29" s="383"/>
      <c r="L29" s="383"/>
      <c r="M29" s="382">
        <v>7401</v>
      </c>
      <c r="N29" s="382"/>
      <c r="O29" s="382">
        <f t="shared" si="2"/>
        <v>0</v>
      </c>
      <c r="P29" s="382">
        <f>E29-K29</f>
        <v>0</v>
      </c>
      <c r="Q29" s="382"/>
      <c r="R29" s="382"/>
      <c r="S29" s="382"/>
      <c r="T29" s="191"/>
    </row>
    <row r="30" spans="1:20" ht="30" customHeight="1">
      <c r="A30" s="187" t="s">
        <v>196</v>
      </c>
      <c r="B30" s="188" t="s">
        <v>335</v>
      </c>
      <c r="C30" s="386">
        <f t="shared" si="0"/>
        <v>19641.7</v>
      </c>
      <c r="D30" s="386"/>
      <c r="E30" s="387"/>
      <c r="F30" s="387">
        <v>19641.7</v>
      </c>
      <c r="G30" s="387"/>
      <c r="H30" s="387"/>
      <c r="I30" s="386">
        <f t="shared" si="3"/>
        <v>19641.7</v>
      </c>
      <c r="J30" s="386"/>
      <c r="K30" s="386"/>
      <c r="L30" s="387">
        <v>19641.7</v>
      </c>
      <c r="M30" s="386"/>
      <c r="N30" s="386"/>
      <c r="O30" s="386">
        <f t="shared" si="2"/>
        <v>0</v>
      </c>
      <c r="P30" s="386">
        <f>E30-K30</f>
        <v>0</v>
      </c>
      <c r="Q30" s="386">
        <f>F30-L30</f>
        <v>0</v>
      </c>
      <c r="R30" s="386"/>
      <c r="S30" s="386"/>
      <c r="T30" s="193"/>
    </row>
    <row r="32" spans="2:20" ht="15" customHeight="1" hidden="1">
      <c r="B32" s="100"/>
      <c r="C32" s="100"/>
      <c r="D32" s="100"/>
      <c r="E32" s="100"/>
      <c r="F32" s="100"/>
      <c r="G32" s="100"/>
      <c r="H32" s="100"/>
      <c r="O32" s="571" t="s">
        <v>379</v>
      </c>
      <c r="P32" s="571"/>
      <c r="Q32" s="571"/>
      <c r="R32" s="571"/>
      <c r="S32" s="571"/>
      <c r="T32" s="571"/>
    </row>
    <row r="33" spans="2:20" ht="15" customHeight="1" hidden="1">
      <c r="B33" s="101" t="s">
        <v>336</v>
      </c>
      <c r="C33" s="100"/>
      <c r="D33" s="100"/>
      <c r="E33" s="100"/>
      <c r="F33" s="100"/>
      <c r="G33" s="100"/>
      <c r="H33" s="100"/>
      <c r="O33" s="572" t="s">
        <v>337</v>
      </c>
      <c r="P33" s="572"/>
      <c r="Q33" s="572"/>
      <c r="R33" s="572"/>
      <c r="S33" s="572"/>
      <c r="T33" s="572"/>
    </row>
    <row r="34" spans="15:20" ht="14.25" hidden="1">
      <c r="O34" s="111"/>
      <c r="P34" s="111"/>
      <c r="Q34" s="111"/>
      <c r="R34" s="111"/>
      <c r="S34" s="111"/>
      <c r="T34" s="111"/>
    </row>
    <row r="35" spans="15:20" ht="14.25" hidden="1">
      <c r="O35" s="111"/>
      <c r="P35" s="111"/>
      <c r="Q35" s="111"/>
      <c r="R35" s="111"/>
      <c r="S35" s="111"/>
      <c r="T35" s="111"/>
    </row>
    <row r="36" spans="15:20" ht="14.25" hidden="1">
      <c r="O36" s="111"/>
      <c r="P36" s="111"/>
      <c r="Q36" s="111"/>
      <c r="R36" s="111"/>
      <c r="S36" s="111"/>
      <c r="T36" s="111"/>
    </row>
    <row r="37" spans="15:20" ht="14.25" hidden="1">
      <c r="O37" s="111"/>
      <c r="P37" s="111"/>
      <c r="Q37" s="111"/>
      <c r="R37" s="111"/>
      <c r="S37" s="111"/>
      <c r="T37" s="111"/>
    </row>
    <row r="38" spans="15:20" ht="14.25" hidden="1">
      <c r="O38" s="111"/>
      <c r="P38" s="111"/>
      <c r="Q38" s="111"/>
      <c r="R38" s="111"/>
      <c r="S38" s="111"/>
      <c r="T38" s="111"/>
    </row>
    <row r="39" spans="2:20" ht="15" hidden="1">
      <c r="B39" s="189" t="s">
        <v>476</v>
      </c>
      <c r="C39" s="100"/>
      <c r="D39" s="100"/>
      <c r="E39" s="100"/>
      <c r="F39" s="100"/>
      <c r="G39" s="100"/>
      <c r="H39" s="100"/>
      <c r="O39" s="566" t="s">
        <v>338</v>
      </c>
      <c r="P39" s="566"/>
      <c r="Q39" s="566"/>
      <c r="R39" s="566"/>
      <c r="S39" s="566"/>
      <c r="T39" s="566"/>
    </row>
  </sheetData>
  <sheetProtection/>
  <mergeCells count="14">
    <mergeCell ref="A5:A7"/>
    <mergeCell ref="C5:H6"/>
    <mergeCell ref="I5:N6"/>
    <mergeCell ref="O5:S6"/>
    <mergeCell ref="O39:T39"/>
    <mergeCell ref="A2:T2"/>
    <mergeCell ref="A3:T3"/>
    <mergeCell ref="Q4:T4"/>
    <mergeCell ref="P1:T1"/>
    <mergeCell ref="O32:T32"/>
    <mergeCell ref="O33:T33"/>
    <mergeCell ref="T5:T7"/>
    <mergeCell ref="B5:B7"/>
    <mergeCell ref="A1:B1"/>
  </mergeCells>
  <printOptions horizontalCentered="1"/>
  <pageMargins left="0.5" right="0.2" top="0.5" bottom="0.2" header="0.31496062992126" footer="0.31496062992126"/>
  <pageSetup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K27"/>
  <sheetViews>
    <sheetView zoomScale="85" zoomScaleNormal="85" zoomScalePageLayoutView="0" workbookViewId="0" topLeftCell="A1">
      <selection activeCell="B17" sqref="A17:IV26"/>
    </sheetView>
  </sheetViews>
  <sheetFormatPr defaultColWidth="11.57421875" defaultRowHeight="15"/>
  <cols>
    <col min="1" max="1" width="6.421875" style="71" customWidth="1"/>
    <col min="2" max="2" width="70.57421875" style="71" customWidth="1"/>
    <col min="3" max="4" width="13.8515625" style="71" customWidth="1"/>
    <col min="5" max="6" width="12.57421875" style="71" customWidth="1"/>
    <col min="7" max="7" width="83.7109375" style="71" customWidth="1"/>
    <col min="8" max="16384" width="11.57421875" style="71" customWidth="1"/>
  </cols>
  <sheetData>
    <row r="1" spans="1:7" ht="15">
      <c r="A1" s="589" t="s">
        <v>0</v>
      </c>
      <c r="B1" s="589"/>
      <c r="C1" s="408"/>
      <c r="D1" s="590" t="s">
        <v>271</v>
      </c>
      <c r="E1" s="590"/>
      <c r="F1" s="590"/>
      <c r="G1" s="590"/>
    </row>
    <row r="2" spans="1:7" ht="17.25">
      <c r="A2" s="591" t="s">
        <v>386</v>
      </c>
      <c r="B2" s="591"/>
      <c r="C2" s="591"/>
      <c r="D2" s="591"/>
      <c r="E2" s="591"/>
      <c r="F2" s="591"/>
      <c r="G2" s="591"/>
    </row>
    <row r="3" spans="1:7" ht="15">
      <c r="A3" s="594" t="str">
        <f>'69'!A3:O3</f>
        <v>(Kèm theo Báo cáo số  571 /BC-UBND ngày  10  tháng 11 năm 2023 của Ủy ban nhân dân tỉnh)</v>
      </c>
      <c r="B3" s="594"/>
      <c r="C3" s="594"/>
      <c r="D3" s="594"/>
      <c r="E3" s="594"/>
      <c r="F3" s="594"/>
      <c r="G3" s="594"/>
    </row>
    <row r="4" spans="1:7" ht="15">
      <c r="A4" s="407"/>
      <c r="E4" s="592" t="s">
        <v>272</v>
      </c>
      <c r="F4" s="592"/>
      <c r="G4" s="592"/>
    </row>
    <row r="5" spans="1:7" ht="34.5" customHeight="1">
      <c r="A5" s="593" t="s">
        <v>48</v>
      </c>
      <c r="B5" s="593" t="s">
        <v>49</v>
      </c>
      <c r="C5" s="593" t="s">
        <v>273</v>
      </c>
      <c r="D5" s="593" t="s">
        <v>789</v>
      </c>
      <c r="E5" s="593" t="s">
        <v>274</v>
      </c>
      <c r="F5" s="593"/>
      <c r="G5" s="593" t="s">
        <v>275</v>
      </c>
    </row>
    <row r="6" spans="1:7" ht="40.5" customHeight="1">
      <c r="A6" s="593"/>
      <c r="B6" s="593"/>
      <c r="C6" s="593"/>
      <c r="D6" s="593"/>
      <c r="E6" s="272" t="s">
        <v>276</v>
      </c>
      <c r="F6" s="272" t="s">
        <v>277</v>
      </c>
      <c r="G6" s="593"/>
    </row>
    <row r="7" spans="1:7" ht="15">
      <c r="A7" s="273" t="s">
        <v>15</v>
      </c>
      <c r="B7" s="273" t="s">
        <v>38</v>
      </c>
      <c r="C7" s="273">
        <v>1</v>
      </c>
      <c r="D7" s="273">
        <v>2</v>
      </c>
      <c r="E7" s="273" t="s">
        <v>278</v>
      </c>
      <c r="F7" s="273" t="s">
        <v>279</v>
      </c>
      <c r="G7" s="273">
        <v>5</v>
      </c>
    </row>
    <row r="8" spans="1:7" ht="22.5" customHeight="1">
      <c r="A8" s="389"/>
      <c r="B8" s="389" t="s">
        <v>480</v>
      </c>
      <c r="C8" s="390">
        <f>SUM(C9:C16)</f>
        <v>1876091</v>
      </c>
      <c r="D8" s="390">
        <f>SUM(D9:D16)</f>
        <v>3431121</v>
      </c>
      <c r="E8" s="391">
        <f>SUM(E9:E16)</f>
        <v>1555030</v>
      </c>
      <c r="F8" s="392">
        <f aca="true" t="shared" si="0" ref="F8:F16">D8/C8*100</f>
        <v>182.88670432297792</v>
      </c>
      <c r="G8" s="391"/>
    </row>
    <row r="9" spans="1:11" ht="90" customHeight="1">
      <c r="A9" s="393">
        <v>1</v>
      </c>
      <c r="B9" s="394" t="s">
        <v>481</v>
      </c>
      <c r="C9" s="395">
        <v>677212</v>
      </c>
      <c r="D9" s="395">
        <v>1238911</v>
      </c>
      <c r="E9" s="396">
        <f aca="true" t="shared" si="1" ref="E9:E16">D9-C9</f>
        <v>561699</v>
      </c>
      <c r="F9" s="397">
        <f t="shared" si="0"/>
        <v>182.9428598430034</v>
      </c>
      <c r="G9" s="398" t="s">
        <v>790</v>
      </c>
      <c r="J9" s="274"/>
      <c r="K9" s="275"/>
    </row>
    <row r="10" spans="1:11" ht="57.75" customHeight="1">
      <c r="A10" s="393">
        <v>2</v>
      </c>
      <c r="B10" s="394" t="s">
        <v>482</v>
      </c>
      <c r="C10" s="395">
        <v>122</v>
      </c>
      <c r="D10" s="395">
        <v>22735</v>
      </c>
      <c r="E10" s="396">
        <f t="shared" si="1"/>
        <v>22613</v>
      </c>
      <c r="F10" s="397">
        <f t="shared" si="0"/>
        <v>18635.245901639344</v>
      </c>
      <c r="G10" s="399" t="s">
        <v>494</v>
      </c>
      <c r="J10" s="275"/>
      <c r="K10" s="275"/>
    </row>
    <row r="11" spans="1:11" ht="54" customHeight="1">
      <c r="A11" s="393">
        <v>3</v>
      </c>
      <c r="B11" s="394" t="s">
        <v>483</v>
      </c>
      <c r="C11" s="395">
        <v>329929</v>
      </c>
      <c r="D11" s="395">
        <v>713910</v>
      </c>
      <c r="E11" s="396">
        <f t="shared" si="1"/>
        <v>383981</v>
      </c>
      <c r="F11" s="397">
        <f t="shared" si="0"/>
        <v>216.38291874918542</v>
      </c>
      <c r="G11" s="399" t="s">
        <v>489</v>
      </c>
      <c r="J11" s="275"/>
      <c r="K11" s="275"/>
    </row>
    <row r="12" spans="1:11" ht="53.25" customHeight="1">
      <c r="A12" s="393">
        <v>4</v>
      </c>
      <c r="B12" s="394" t="s">
        <v>484</v>
      </c>
      <c r="C12" s="395">
        <v>17812</v>
      </c>
      <c r="D12" s="395">
        <v>15656</v>
      </c>
      <c r="E12" s="396">
        <f t="shared" si="1"/>
        <v>-2156</v>
      </c>
      <c r="F12" s="397">
        <f t="shared" si="0"/>
        <v>87.89580058387604</v>
      </c>
      <c r="G12" s="400" t="s">
        <v>490</v>
      </c>
      <c r="J12" s="275"/>
      <c r="K12" s="276"/>
    </row>
    <row r="13" spans="1:7" ht="68.25" customHeight="1">
      <c r="A13" s="393">
        <v>5</v>
      </c>
      <c r="B13" s="394" t="s">
        <v>485</v>
      </c>
      <c r="C13" s="395">
        <v>137539</v>
      </c>
      <c r="D13" s="395">
        <v>142666</v>
      </c>
      <c r="E13" s="396">
        <f t="shared" si="1"/>
        <v>5127</v>
      </c>
      <c r="F13" s="397">
        <f t="shared" si="0"/>
        <v>103.72766996997215</v>
      </c>
      <c r="G13" s="400" t="s">
        <v>491</v>
      </c>
    </row>
    <row r="14" spans="1:7" ht="52.5" customHeight="1">
      <c r="A14" s="393">
        <v>6</v>
      </c>
      <c r="B14" s="394" t="s">
        <v>486</v>
      </c>
      <c r="C14" s="395">
        <v>1463</v>
      </c>
      <c r="D14" s="395">
        <v>4282</v>
      </c>
      <c r="E14" s="396">
        <f t="shared" si="1"/>
        <v>2819</v>
      </c>
      <c r="F14" s="397">
        <f t="shared" si="0"/>
        <v>292.6862611073137</v>
      </c>
      <c r="G14" s="399" t="s">
        <v>492</v>
      </c>
    </row>
    <row r="15" spans="1:7" ht="69.75" customHeight="1">
      <c r="A15" s="393">
        <v>7</v>
      </c>
      <c r="B15" s="394" t="s">
        <v>487</v>
      </c>
      <c r="C15" s="395">
        <v>587438</v>
      </c>
      <c r="D15" s="395">
        <v>962608</v>
      </c>
      <c r="E15" s="396">
        <f t="shared" si="1"/>
        <v>375170</v>
      </c>
      <c r="F15" s="397">
        <f t="shared" si="0"/>
        <v>163.86546324888752</v>
      </c>
      <c r="G15" s="400" t="s">
        <v>493</v>
      </c>
    </row>
    <row r="16" spans="1:7" ht="117.75" customHeight="1">
      <c r="A16" s="401">
        <v>8</v>
      </c>
      <c r="B16" s="402" t="s">
        <v>488</v>
      </c>
      <c r="C16" s="403">
        <v>124576</v>
      </c>
      <c r="D16" s="403">
        <v>330353</v>
      </c>
      <c r="E16" s="404">
        <f t="shared" si="1"/>
        <v>205777</v>
      </c>
      <c r="F16" s="405">
        <f t="shared" si="0"/>
        <v>265.18189699460567</v>
      </c>
      <c r="G16" s="406" t="s">
        <v>792</v>
      </c>
    </row>
    <row r="17" spans="1:10" s="72" customFormat="1" ht="15" hidden="1">
      <c r="A17" s="595"/>
      <c r="B17" s="277"/>
      <c r="C17" s="497"/>
      <c r="D17" s="497"/>
      <c r="E17" s="497"/>
      <c r="F17" s="497"/>
      <c r="G17" s="195" t="s">
        <v>791</v>
      </c>
      <c r="H17" s="196"/>
      <c r="I17" s="196"/>
      <c r="J17" s="196"/>
    </row>
    <row r="18" spans="1:10" ht="16.5" hidden="1">
      <c r="A18" s="595"/>
      <c r="B18" s="278"/>
      <c r="C18" s="506"/>
      <c r="D18" s="506"/>
      <c r="E18" s="506"/>
      <c r="F18" s="506"/>
      <c r="G18" s="50" t="s">
        <v>364</v>
      </c>
      <c r="H18" s="197"/>
      <c r="I18" s="197"/>
      <c r="J18" s="197"/>
    </row>
    <row r="19" spans="1:10" ht="16.5" hidden="1">
      <c r="A19" s="595"/>
      <c r="B19" s="277"/>
      <c r="C19" s="506"/>
      <c r="D19" s="506"/>
      <c r="E19" s="506"/>
      <c r="F19" s="506"/>
      <c r="G19" s="50" t="s">
        <v>495</v>
      </c>
      <c r="H19" s="197"/>
      <c r="I19" s="197"/>
      <c r="J19" s="197"/>
    </row>
    <row r="20" spans="3:10" ht="15" hidden="1">
      <c r="C20" s="596"/>
      <c r="D20" s="596"/>
      <c r="E20" s="596"/>
      <c r="F20" s="596"/>
      <c r="G20" s="388"/>
      <c r="H20" s="388"/>
      <c r="I20" s="388"/>
      <c r="J20" s="388"/>
    </row>
    <row r="21" spans="7:10" ht="15" hidden="1">
      <c r="G21" s="198"/>
      <c r="H21" s="198"/>
      <c r="I21" s="198"/>
      <c r="J21" s="198"/>
    </row>
    <row r="22" spans="7:10" ht="15" hidden="1">
      <c r="G22" s="198"/>
      <c r="H22" s="198"/>
      <c r="I22" s="198"/>
      <c r="J22" s="198"/>
    </row>
    <row r="23" spans="7:10" ht="15" hidden="1">
      <c r="G23" s="198"/>
      <c r="H23" s="198"/>
      <c r="I23" s="198"/>
      <c r="J23" s="198"/>
    </row>
    <row r="24" spans="7:10" ht="15" hidden="1">
      <c r="G24" s="198"/>
      <c r="H24" s="198"/>
      <c r="I24" s="198"/>
      <c r="J24" s="198"/>
    </row>
    <row r="25" spans="7:10" ht="15" hidden="1">
      <c r="G25" s="198"/>
      <c r="H25" s="198"/>
      <c r="I25" s="198"/>
      <c r="J25" s="198"/>
    </row>
    <row r="26" spans="3:10" ht="16.5" hidden="1">
      <c r="C26" s="484"/>
      <c r="D26" s="484"/>
      <c r="E26" s="484"/>
      <c r="F26" s="484"/>
      <c r="G26" s="18" t="s">
        <v>729</v>
      </c>
      <c r="H26" s="43"/>
      <c r="I26" s="43"/>
      <c r="J26" s="43"/>
    </row>
    <row r="27" spans="4:6" ht="17.25">
      <c r="D27" s="591"/>
      <c r="E27" s="591"/>
      <c r="F27" s="591"/>
    </row>
  </sheetData>
  <sheetProtection/>
  <mergeCells count="18">
    <mergeCell ref="C26:F26"/>
    <mergeCell ref="D27:F27"/>
    <mergeCell ref="G5:G6"/>
    <mergeCell ref="A17:A19"/>
    <mergeCell ref="C17:F17"/>
    <mergeCell ref="C18:F18"/>
    <mergeCell ref="C19:F19"/>
    <mergeCell ref="C20:F20"/>
    <mergeCell ref="A1:B1"/>
    <mergeCell ref="D1:G1"/>
    <mergeCell ref="A2:G2"/>
    <mergeCell ref="E4:G4"/>
    <mergeCell ref="A5:A6"/>
    <mergeCell ref="B5:B6"/>
    <mergeCell ref="C5:C6"/>
    <mergeCell ref="D5:D6"/>
    <mergeCell ref="E5:F5"/>
    <mergeCell ref="A3:G3"/>
  </mergeCells>
  <hyperlinks>
    <hyperlink ref="G9" location="_ftn1" display="_ftn1"/>
  </hyperlinks>
  <printOptions horizontalCentered="1"/>
  <pageMargins left="0.5" right="0.2" top="0.4" bottom="0.1" header="0.31496062992126" footer="0.2"/>
  <pageSetup horizontalDpi="600" verticalDpi="600" orientation="landscape" paperSize="9" scale="63" r:id="rId1"/>
</worksheet>
</file>

<file path=xl/worksheets/sheet14.xml><?xml version="1.0" encoding="utf-8"?>
<worksheet xmlns="http://schemas.openxmlformats.org/spreadsheetml/2006/main" xmlns:r="http://schemas.openxmlformats.org/officeDocument/2006/relationships">
  <dimension ref="A1:K28"/>
  <sheetViews>
    <sheetView zoomScalePageLayoutView="0" workbookViewId="0" topLeftCell="A1">
      <selection activeCell="A3" sqref="A3:G3"/>
    </sheetView>
  </sheetViews>
  <sheetFormatPr defaultColWidth="9.140625" defaultRowHeight="15"/>
  <cols>
    <col min="1" max="1" width="7.28125" style="111" customWidth="1"/>
    <col min="2" max="2" width="30.00390625" style="111" customWidth="1"/>
    <col min="3" max="5" width="18.421875" style="111" customWidth="1"/>
    <col min="6" max="7" width="18.57421875" style="111" customWidth="1"/>
    <col min="8" max="16384" width="9.140625" style="111" customWidth="1"/>
  </cols>
  <sheetData>
    <row r="1" spans="1:11" ht="15">
      <c r="A1" s="110" t="s">
        <v>0</v>
      </c>
      <c r="B1" s="48"/>
      <c r="C1" s="48"/>
      <c r="D1" s="48"/>
      <c r="E1" s="48"/>
      <c r="F1" s="48"/>
      <c r="G1" s="48"/>
      <c r="H1" s="48"/>
      <c r="I1" s="48"/>
      <c r="J1" s="48"/>
      <c r="K1" s="48"/>
    </row>
    <row r="2" spans="1:11" ht="17.25">
      <c r="A2" s="598" t="s">
        <v>387</v>
      </c>
      <c r="B2" s="598"/>
      <c r="C2" s="598"/>
      <c r="D2" s="598"/>
      <c r="E2" s="598"/>
      <c r="F2" s="598"/>
      <c r="G2" s="598"/>
      <c r="H2" s="48"/>
      <c r="I2" s="48"/>
      <c r="J2" s="48"/>
      <c r="K2" s="48"/>
    </row>
    <row r="3" spans="1:11" ht="15">
      <c r="A3" s="599" t="str">
        <f>'70'!A3:G3</f>
        <v>(Kèm theo Báo cáo số  571 /BC-UBND ngày  10  tháng 11 năm 2023 của Ủy ban nhân dân tỉnh)</v>
      </c>
      <c r="B3" s="599"/>
      <c r="C3" s="599"/>
      <c r="D3" s="599"/>
      <c r="E3" s="599"/>
      <c r="F3" s="599"/>
      <c r="G3" s="599"/>
      <c r="H3" s="48"/>
      <c r="I3" s="48"/>
      <c r="J3" s="48"/>
      <c r="K3" s="48"/>
    </row>
    <row r="4" spans="1:11" ht="15">
      <c r="A4" s="297"/>
      <c r="B4" s="297"/>
      <c r="C4" s="297"/>
      <c r="D4" s="297"/>
      <c r="E4" s="297"/>
      <c r="F4" s="297"/>
      <c r="G4" s="297"/>
      <c r="H4" s="48"/>
      <c r="I4" s="48"/>
      <c r="J4" s="48"/>
      <c r="K4" s="48"/>
    </row>
    <row r="5" spans="1:11" ht="15">
      <c r="A5" s="48"/>
      <c r="B5" s="48"/>
      <c r="C5" s="48"/>
      <c r="D5" s="48"/>
      <c r="E5" s="600" t="s">
        <v>2</v>
      </c>
      <c r="F5" s="600"/>
      <c r="G5" s="600"/>
      <c r="H5" s="48"/>
      <c r="I5" s="48"/>
      <c r="J5" s="48"/>
      <c r="K5" s="48"/>
    </row>
    <row r="6" spans="1:11" s="142" customFormat="1" ht="21.75" customHeight="1">
      <c r="A6" s="601" t="s">
        <v>48</v>
      </c>
      <c r="B6" s="601" t="s">
        <v>794</v>
      </c>
      <c r="C6" s="601" t="s">
        <v>795</v>
      </c>
      <c r="D6" s="601" t="s">
        <v>796</v>
      </c>
      <c r="E6" s="601" t="s">
        <v>797</v>
      </c>
      <c r="F6" s="601" t="s">
        <v>798</v>
      </c>
      <c r="G6" s="601"/>
      <c r="H6" s="110"/>
      <c r="I6" s="110"/>
      <c r="J6" s="110"/>
      <c r="K6" s="110"/>
    </row>
    <row r="7" spans="1:11" s="142" customFormat="1" ht="57.75" customHeight="1">
      <c r="A7" s="601"/>
      <c r="B7" s="601"/>
      <c r="C7" s="601"/>
      <c r="D7" s="601"/>
      <c r="E7" s="601"/>
      <c r="F7" s="415" t="s">
        <v>795</v>
      </c>
      <c r="G7" s="415" t="s">
        <v>796</v>
      </c>
      <c r="H7" s="110"/>
      <c r="I7" s="110"/>
      <c r="J7" s="110"/>
      <c r="K7" s="110"/>
    </row>
    <row r="8" spans="1:11" s="416" customFormat="1" ht="22.5" customHeight="1">
      <c r="A8" s="143" t="s">
        <v>15</v>
      </c>
      <c r="B8" s="143" t="s">
        <v>38</v>
      </c>
      <c r="C8" s="143">
        <v>1</v>
      </c>
      <c r="D8" s="143">
        <v>2</v>
      </c>
      <c r="E8" s="143">
        <v>3</v>
      </c>
      <c r="F8" s="143" t="s">
        <v>368</v>
      </c>
      <c r="G8" s="143" t="s">
        <v>369</v>
      </c>
      <c r="H8" s="48"/>
      <c r="I8" s="48"/>
      <c r="J8" s="48"/>
      <c r="K8" s="48"/>
    </row>
    <row r="9" spans="1:11" ht="27.75" customHeight="1">
      <c r="A9" s="409">
        <v>1</v>
      </c>
      <c r="B9" s="410" t="s">
        <v>799</v>
      </c>
      <c r="C9" s="417">
        <v>67808</v>
      </c>
      <c r="D9" s="417">
        <v>67808</v>
      </c>
      <c r="E9" s="417">
        <v>63267</v>
      </c>
      <c r="F9" s="418">
        <f>E9/C9%</f>
        <v>93.3031500707881</v>
      </c>
      <c r="G9" s="418">
        <f>E9/D9%</f>
        <v>93.3031500707881</v>
      </c>
      <c r="H9" s="48"/>
      <c r="I9" s="48"/>
      <c r="J9" s="48"/>
      <c r="K9" s="48"/>
    </row>
    <row r="10" spans="1:11" ht="27.75" customHeight="1">
      <c r="A10" s="411">
        <v>2</v>
      </c>
      <c r="B10" s="412" t="s">
        <v>800</v>
      </c>
      <c r="C10" s="419">
        <v>26000</v>
      </c>
      <c r="D10" s="419">
        <v>26000</v>
      </c>
      <c r="E10" s="419">
        <v>19081</v>
      </c>
      <c r="F10" s="420">
        <f>E10/C10%</f>
        <v>73.38846153846154</v>
      </c>
      <c r="G10" s="420">
        <f>E10/D10%</f>
        <v>73.38846153846154</v>
      </c>
      <c r="H10" s="48"/>
      <c r="I10" s="144"/>
      <c r="J10" s="48"/>
      <c r="K10" s="48"/>
    </row>
    <row r="11" spans="1:11" ht="27.75" customHeight="1">
      <c r="A11" s="411">
        <v>3</v>
      </c>
      <c r="B11" s="412" t="s">
        <v>801</v>
      </c>
      <c r="C11" s="419">
        <v>4300</v>
      </c>
      <c r="D11" s="419">
        <v>4300</v>
      </c>
      <c r="E11" s="419">
        <v>4399</v>
      </c>
      <c r="F11" s="420">
        <f>E11/C11%</f>
        <v>102.30232558139535</v>
      </c>
      <c r="G11" s="420">
        <f>E11/D11%</f>
        <v>102.30232558139535</v>
      </c>
      <c r="H11" s="48"/>
      <c r="I11" s="48"/>
      <c r="J11" s="48"/>
      <c r="K11" s="48"/>
    </row>
    <row r="12" spans="1:11" ht="27.75" customHeight="1">
      <c r="A12" s="413">
        <v>4</v>
      </c>
      <c r="B12" s="414" t="s">
        <v>802</v>
      </c>
      <c r="C12" s="421">
        <f>C9+C10-C11</f>
        <v>89508</v>
      </c>
      <c r="D12" s="421">
        <f>D9+D10-D11</f>
        <v>89508</v>
      </c>
      <c r="E12" s="421">
        <f>E9+E10-E11</f>
        <v>77949</v>
      </c>
      <c r="F12" s="422">
        <f>E12/C12%</f>
        <v>87.0860705188363</v>
      </c>
      <c r="G12" s="422">
        <f>E12/D12%</f>
        <v>87.0860705188363</v>
      </c>
      <c r="H12" s="48"/>
      <c r="I12" s="48"/>
      <c r="J12" s="144"/>
      <c r="K12" s="48"/>
    </row>
    <row r="13" spans="1:11" ht="20.25" customHeight="1">
      <c r="A13" s="51"/>
      <c r="B13" s="52"/>
      <c r="C13" s="145"/>
      <c r="D13" s="145"/>
      <c r="E13" s="145"/>
      <c r="F13" s="146"/>
      <c r="G13" s="146"/>
      <c r="H13" s="48"/>
      <c r="I13" s="48"/>
      <c r="J13" s="48"/>
      <c r="K13" s="48"/>
    </row>
    <row r="14" spans="1:11" s="148" customFormat="1" ht="15" hidden="1">
      <c r="A14" s="602" t="s">
        <v>388</v>
      </c>
      <c r="B14" s="602"/>
      <c r="C14" s="602" t="s">
        <v>388</v>
      </c>
      <c r="D14" s="602"/>
      <c r="E14" s="602" t="s">
        <v>389</v>
      </c>
      <c r="F14" s="602"/>
      <c r="G14" s="602"/>
      <c r="H14" s="147"/>
      <c r="I14" s="147"/>
      <c r="J14" s="147"/>
      <c r="K14" s="147"/>
    </row>
    <row r="15" spans="1:11" ht="15" hidden="1">
      <c r="A15" s="597" t="s">
        <v>365</v>
      </c>
      <c r="B15" s="597"/>
      <c r="C15" s="597" t="s">
        <v>337</v>
      </c>
      <c r="D15" s="597"/>
      <c r="E15" s="597" t="s">
        <v>793</v>
      </c>
      <c r="F15" s="597"/>
      <c r="G15" s="597"/>
      <c r="H15" s="48"/>
      <c r="I15" s="48"/>
      <c r="J15" s="48"/>
      <c r="K15" s="48"/>
    </row>
    <row r="16" spans="1:11" ht="15" hidden="1">
      <c r="A16" s="110"/>
      <c r="B16" s="110"/>
      <c r="C16" s="110"/>
      <c r="D16" s="110"/>
      <c r="E16" s="597" t="s">
        <v>495</v>
      </c>
      <c r="F16" s="597"/>
      <c r="G16" s="597"/>
      <c r="H16" s="48"/>
      <c r="I16" s="48"/>
      <c r="J16" s="48"/>
      <c r="K16" s="48"/>
    </row>
    <row r="17" spans="1:11" ht="15" hidden="1">
      <c r="A17" s="110"/>
      <c r="B17" s="110"/>
      <c r="C17" s="110"/>
      <c r="D17" s="110"/>
      <c r="E17" s="597"/>
      <c r="F17" s="597"/>
      <c r="G17" s="597"/>
      <c r="H17" s="48"/>
      <c r="I17" s="48"/>
      <c r="J17" s="48"/>
      <c r="K17" s="48"/>
    </row>
    <row r="18" spans="1:11" ht="15" hidden="1">
      <c r="A18" s="110"/>
      <c r="B18" s="110"/>
      <c r="C18" s="110"/>
      <c r="D18" s="110"/>
      <c r="E18" s="112"/>
      <c r="F18" s="112"/>
      <c r="G18" s="112"/>
      <c r="H18" s="48"/>
      <c r="I18" s="48"/>
      <c r="J18" s="48"/>
      <c r="K18" s="48"/>
    </row>
    <row r="19" spans="1:11" ht="15" hidden="1">
      <c r="A19" s="110"/>
      <c r="B19" s="110"/>
      <c r="C19" s="110"/>
      <c r="D19" s="110"/>
      <c r="E19" s="110"/>
      <c r="F19" s="110"/>
      <c r="G19" s="110"/>
      <c r="H19" s="48"/>
      <c r="I19" s="48"/>
      <c r="J19" s="48"/>
      <c r="K19" s="48"/>
    </row>
    <row r="20" spans="1:11" ht="15" hidden="1">
      <c r="A20" s="110"/>
      <c r="B20" s="110"/>
      <c r="C20" s="110"/>
      <c r="D20" s="110"/>
      <c r="E20" s="110"/>
      <c r="F20" s="110"/>
      <c r="G20" s="110"/>
      <c r="H20" s="48"/>
      <c r="I20" s="48"/>
      <c r="J20" s="48"/>
      <c r="K20" s="48"/>
    </row>
    <row r="21" spans="1:11" ht="15" hidden="1">
      <c r="A21" s="110"/>
      <c r="B21" s="110"/>
      <c r="C21" s="110"/>
      <c r="D21" s="110"/>
      <c r="E21" s="110"/>
      <c r="F21" s="110"/>
      <c r="G21" s="110"/>
      <c r="H21" s="48"/>
      <c r="I21" s="48"/>
      <c r="J21" s="48"/>
      <c r="K21" s="48"/>
    </row>
    <row r="22" spans="1:11" ht="15" hidden="1">
      <c r="A22" s="597" t="s">
        <v>739</v>
      </c>
      <c r="B22" s="597"/>
      <c r="C22" s="597" t="s">
        <v>338</v>
      </c>
      <c r="D22" s="597"/>
      <c r="E22" s="597" t="s">
        <v>729</v>
      </c>
      <c r="F22" s="597"/>
      <c r="G22" s="597"/>
      <c r="H22" s="48"/>
      <c r="I22" s="48"/>
      <c r="J22" s="48"/>
      <c r="K22" s="48"/>
    </row>
    <row r="23" spans="1:11" ht="15" hidden="1">
      <c r="A23" s="48"/>
      <c r="B23" s="48"/>
      <c r="C23" s="48"/>
      <c r="D23" s="48"/>
      <c r="E23" s="48"/>
      <c r="F23" s="48"/>
      <c r="G23" s="48"/>
      <c r="H23" s="48"/>
      <c r="I23" s="48"/>
      <c r="J23" s="48"/>
      <c r="K23" s="48"/>
    </row>
    <row r="24" spans="1:11" ht="15" hidden="1">
      <c r="A24" s="48"/>
      <c r="B24" s="48"/>
      <c r="C24" s="48"/>
      <c r="D24" s="48"/>
      <c r="E24" s="48"/>
      <c r="F24" s="48"/>
      <c r="G24" s="48"/>
      <c r="H24" s="48"/>
      <c r="I24" s="48"/>
      <c r="J24" s="48"/>
      <c r="K24" s="48"/>
    </row>
    <row r="25" spans="1:11" ht="15" hidden="1">
      <c r="A25" s="48"/>
      <c r="B25" s="48"/>
      <c r="C25" s="48"/>
      <c r="D25" s="48"/>
      <c r="E25" s="48"/>
      <c r="F25" s="48"/>
      <c r="G25" s="48"/>
      <c r="H25" s="48"/>
      <c r="I25" s="48"/>
      <c r="J25" s="48"/>
      <c r="K25" s="48"/>
    </row>
    <row r="26" spans="1:11" ht="15">
      <c r="A26" s="48"/>
      <c r="B26" s="48"/>
      <c r="C26" s="48"/>
      <c r="D26" s="48"/>
      <c r="E26" s="48"/>
      <c r="F26" s="48"/>
      <c r="G26" s="48"/>
      <c r="H26" s="48"/>
      <c r="I26" s="48"/>
      <c r="J26" s="48"/>
      <c r="K26" s="48"/>
    </row>
    <row r="27" spans="1:11" ht="15">
      <c r="A27" s="48"/>
      <c r="B27" s="48"/>
      <c r="C27" s="48"/>
      <c r="D27" s="48"/>
      <c r="E27" s="48"/>
      <c r="F27" s="48"/>
      <c r="G27" s="48"/>
      <c r="H27" s="48"/>
      <c r="I27" s="48"/>
      <c r="J27" s="48"/>
      <c r="K27" s="48"/>
    </row>
    <row r="28" spans="1:11" ht="15">
      <c r="A28" s="48"/>
      <c r="B28" s="48"/>
      <c r="C28" s="48"/>
      <c r="D28" s="48"/>
      <c r="E28" s="48"/>
      <c r="F28" s="48"/>
      <c r="G28" s="48"/>
      <c r="H28" s="48"/>
      <c r="I28" s="48"/>
      <c r="J28" s="48"/>
      <c r="K28" s="48"/>
    </row>
  </sheetData>
  <sheetProtection/>
  <mergeCells count="20">
    <mergeCell ref="A22:B22"/>
    <mergeCell ref="E16:G16"/>
    <mergeCell ref="E17:G17"/>
    <mergeCell ref="C22:D22"/>
    <mergeCell ref="E22:G22"/>
    <mergeCell ref="A14:B14"/>
    <mergeCell ref="C14:D14"/>
    <mergeCell ref="E14:G14"/>
    <mergeCell ref="A15:B15"/>
    <mergeCell ref="C15:D15"/>
    <mergeCell ref="E15:G15"/>
    <mergeCell ref="A2:G2"/>
    <mergeCell ref="A3:G3"/>
    <mergeCell ref="E5:G5"/>
    <mergeCell ref="A6:A7"/>
    <mergeCell ref="B6:B7"/>
    <mergeCell ref="C6:C7"/>
    <mergeCell ref="D6:D7"/>
    <mergeCell ref="E6:E7"/>
    <mergeCell ref="F6:G6"/>
  </mergeCells>
  <printOptions horizontalCentered="1"/>
  <pageMargins left="0.7" right="0.2" top="0.7"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defaultGridColor="0" view="pageBreakPreview" zoomScaleSheetLayoutView="100" colorId="0"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B15" sqref="B15"/>
    </sheetView>
  </sheetViews>
  <sheetFormatPr defaultColWidth="10.28125" defaultRowHeight="15"/>
  <cols>
    <col min="1" max="1" width="6.7109375" style="15" customWidth="1"/>
    <col min="2" max="2" width="36.28125" style="15" customWidth="1"/>
    <col min="3" max="6" width="13.00390625" style="15" customWidth="1"/>
    <col min="7" max="7" width="6.7109375" style="16" customWidth="1"/>
    <col min="8" max="8" width="36.421875" style="15" customWidth="1"/>
    <col min="9" max="12" width="13.28125" style="15" customWidth="1"/>
    <col min="13" max="15" width="21.140625" style="15" hidden="1" customWidth="1"/>
    <col min="16" max="16384" width="10.28125" style="15" customWidth="1"/>
  </cols>
  <sheetData>
    <row r="1" spans="1:14" s="4" customFormat="1" ht="15.75" customHeight="1">
      <c r="A1" s="1" t="s">
        <v>0</v>
      </c>
      <c r="B1" s="1"/>
      <c r="C1" s="1"/>
      <c r="D1" s="1"/>
      <c r="E1" s="1"/>
      <c r="F1" s="2"/>
      <c r="G1" s="3"/>
      <c r="H1" s="486" t="s">
        <v>1</v>
      </c>
      <c r="I1" s="486"/>
      <c r="J1" s="486"/>
      <c r="K1" s="486"/>
      <c r="L1" s="486"/>
      <c r="M1" s="2"/>
      <c r="N1" s="2"/>
    </row>
    <row r="2" spans="1:14" s="4" customFormat="1" ht="18.75" customHeight="1">
      <c r="A2" s="487" t="s">
        <v>372</v>
      </c>
      <c r="B2" s="487"/>
      <c r="C2" s="487"/>
      <c r="D2" s="487"/>
      <c r="E2" s="487"/>
      <c r="F2" s="487"/>
      <c r="G2" s="487"/>
      <c r="H2" s="487"/>
      <c r="I2" s="487"/>
      <c r="J2" s="487"/>
      <c r="K2" s="487"/>
      <c r="L2" s="487"/>
      <c r="M2" s="2"/>
      <c r="N2" s="2"/>
    </row>
    <row r="3" spans="1:14" s="4" customFormat="1" ht="18.75" customHeight="1">
      <c r="A3" s="488" t="s">
        <v>808</v>
      </c>
      <c r="B3" s="488"/>
      <c r="C3" s="488"/>
      <c r="D3" s="488"/>
      <c r="E3" s="488"/>
      <c r="F3" s="488"/>
      <c r="G3" s="488"/>
      <c r="H3" s="488"/>
      <c r="I3" s="488"/>
      <c r="J3" s="488"/>
      <c r="K3" s="488"/>
      <c r="L3" s="488"/>
      <c r="M3" s="2"/>
      <c r="N3" s="2"/>
    </row>
    <row r="4" spans="1:14" s="4" customFormat="1" ht="18.75" customHeight="1">
      <c r="A4" s="5"/>
      <c r="B4" s="6"/>
      <c r="C4" s="7"/>
      <c r="D4" s="6"/>
      <c r="E4" s="6"/>
      <c r="F4" s="6"/>
      <c r="G4" s="3"/>
      <c r="H4" s="6"/>
      <c r="I4" s="7"/>
      <c r="J4" s="6"/>
      <c r="K4" s="485" t="s">
        <v>2</v>
      </c>
      <c r="L4" s="485"/>
      <c r="M4" s="2"/>
      <c r="N4" s="2"/>
    </row>
    <row r="5" spans="1:14" s="9" customFormat="1" ht="13.5" customHeight="1">
      <c r="A5" s="265"/>
      <c r="B5" s="489" t="s">
        <v>3</v>
      </c>
      <c r="C5" s="266" t="s">
        <v>4</v>
      </c>
      <c r="D5" s="266" t="s">
        <v>5</v>
      </c>
      <c r="E5" s="266" t="s">
        <v>5</v>
      </c>
      <c r="F5" s="266" t="s">
        <v>5</v>
      </c>
      <c r="G5" s="266"/>
      <c r="H5" s="489" t="s">
        <v>6</v>
      </c>
      <c r="I5" s="266" t="s">
        <v>4</v>
      </c>
      <c r="J5" s="266" t="s">
        <v>7</v>
      </c>
      <c r="K5" s="266" t="s">
        <v>7</v>
      </c>
      <c r="L5" s="266" t="s">
        <v>7</v>
      </c>
      <c r="M5" s="8"/>
      <c r="N5" s="8"/>
    </row>
    <row r="6" spans="1:14" s="9" customFormat="1" ht="12.75" customHeight="1">
      <c r="A6" s="267"/>
      <c r="B6" s="489"/>
      <c r="C6" s="268" t="s">
        <v>8</v>
      </c>
      <c r="D6" s="268" t="s">
        <v>9</v>
      </c>
      <c r="E6" s="268" t="s">
        <v>10</v>
      </c>
      <c r="F6" s="268" t="s">
        <v>11</v>
      </c>
      <c r="G6" s="268"/>
      <c r="H6" s="489"/>
      <c r="I6" s="268" t="s">
        <v>8</v>
      </c>
      <c r="J6" s="268" t="s">
        <v>9</v>
      </c>
      <c r="K6" s="268" t="s">
        <v>10</v>
      </c>
      <c r="L6" s="268" t="s">
        <v>11</v>
      </c>
      <c r="M6" s="8"/>
      <c r="N6" s="8"/>
    </row>
    <row r="7" spans="1:14" s="4" customFormat="1" ht="16.5" customHeight="1">
      <c r="A7" s="269"/>
      <c r="B7" s="270">
        <v>1</v>
      </c>
      <c r="C7" s="270">
        <v>2</v>
      </c>
      <c r="D7" s="270">
        <v>3</v>
      </c>
      <c r="E7" s="270">
        <v>4</v>
      </c>
      <c r="F7" s="270">
        <v>5</v>
      </c>
      <c r="G7" s="271" t="s">
        <v>12</v>
      </c>
      <c r="H7" s="270">
        <v>6</v>
      </c>
      <c r="I7" s="270">
        <v>7</v>
      </c>
      <c r="J7" s="270">
        <v>8</v>
      </c>
      <c r="K7" s="270">
        <v>9</v>
      </c>
      <c r="L7" s="270">
        <v>10</v>
      </c>
      <c r="M7" s="2"/>
      <c r="N7" s="2"/>
    </row>
    <row r="8" spans="1:15" s="4" customFormat="1" ht="15">
      <c r="A8" s="157"/>
      <c r="B8" s="158" t="s">
        <v>13</v>
      </c>
      <c r="C8" s="279">
        <f>C9+C22</f>
        <v>22928531</v>
      </c>
      <c r="D8" s="279">
        <f>D9+D22</f>
        <v>13041043</v>
      </c>
      <c r="E8" s="279">
        <f>E9+E22</f>
        <v>8583779</v>
      </c>
      <c r="F8" s="279">
        <f>F9+F22</f>
        <v>1303709</v>
      </c>
      <c r="G8" s="157"/>
      <c r="H8" s="158" t="s">
        <v>14</v>
      </c>
      <c r="I8" s="290">
        <f>I9+I22</f>
        <v>22861453</v>
      </c>
      <c r="J8" s="290">
        <f>J9+J22</f>
        <v>12984129</v>
      </c>
      <c r="K8" s="290">
        <f>K9+K22</f>
        <v>8577349</v>
      </c>
      <c r="L8" s="290">
        <f>L9+L22</f>
        <v>1299975</v>
      </c>
      <c r="M8" s="149">
        <v>13041043308646</v>
      </c>
      <c r="N8" s="149">
        <v>8583778979375</v>
      </c>
      <c r="O8" s="150">
        <v>1303708869500</v>
      </c>
    </row>
    <row r="9" spans="1:15" s="11" customFormat="1" ht="15">
      <c r="A9" s="159" t="s">
        <v>15</v>
      </c>
      <c r="B9" s="160" t="s">
        <v>16</v>
      </c>
      <c r="C9" s="280">
        <f>C10+C11+C12+C13+C14+C15+C16+C19</f>
        <v>22909450</v>
      </c>
      <c r="D9" s="280">
        <f>D10+D11+D12+D13+D14+D15+D16+D19</f>
        <v>13021962</v>
      </c>
      <c r="E9" s="280">
        <f>E10+E11+E12+E13+E14+E15+E16+E19</f>
        <v>8583779</v>
      </c>
      <c r="F9" s="280">
        <f>F10+F11+F12+F13+F14+F15+F16+F19</f>
        <v>1303709</v>
      </c>
      <c r="G9" s="159" t="s">
        <v>15</v>
      </c>
      <c r="H9" s="160" t="s">
        <v>17</v>
      </c>
      <c r="I9" s="291">
        <f>I10+I11+I12+I13+I14+I15+I16+I17</f>
        <v>22857054</v>
      </c>
      <c r="J9" s="291">
        <f>J10+J11+J12+J13+J14+J15+J16+J17</f>
        <v>12979730</v>
      </c>
      <c r="K9" s="291">
        <f>K10+K11+K12+K13+K14+K15+K16+K17</f>
        <v>8577349</v>
      </c>
      <c r="L9" s="291">
        <f>L10+L11+L12+L13+L14+L15+L16+L17</f>
        <v>1299975</v>
      </c>
      <c r="M9" s="151">
        <v>12985465885696</v>
      </c>
      <c r="N9" s="151">
        <v>8577349298579</v>
      </c>
      <c r="O9" s="152">
        <v>1299974877264</v>
      </c>
    </row>
    <row r="10" spans="1:15" s="11" customFormat="1" ht="15">
      <c r="A10" s="161">
        <v>1</v>
      </c>
      <c r="B10" s="162" t="s">
        <v>18</v>
      </c>
      <c r="C10" s="281">
        <f>D10+E10+F10</f>
        <v>1953935</v>
      </c>
      <c r="D10" s="281">
        <f>1583073-D11-3305</f>
        <v>1115657</v>
      </c>
      <c r="E10" s="281">
        <f>1076509-E11-550</f>
        <v>801644</v>
      </c>
      <c r="F10" s="281">
        <f>63090-F11</f>
        <v>36634</v>
      </c>
      <c r="G10" s="161">
        <v>1</v>
      </c>
      <c r="H10" s="162" t="s">
        <v>19</v>
      </c>
      <c r="I10" s="292">
        <f>J10+K10+L10</f>
        <v>2967321</v>
      </c>
      <c r="J10" s="292">
        <v>1599711</v>
      </c>
      <c r="K10" s="292">
        <v>1289015</v>
      </c>
      <c r="L10" s="292">
        <v>78595</v>
      </c>
      <c r="M10" s="12">
        <f>M8-M9</f>
        <v>55577422950</v>
      </c>
      <c r="N10" s="12">
        <f>N8-N9</f>
        <v>6429680796</v>
      </c>
      <c r="O10" s="12">
        <f>O8-O9</f>
        <v>3733992236</v>
      </c>
    </row>
    <row r="11" spans="1:14" s="11" customFormat="1" ht="15">
      <c r="A11" s="161">
        <v>2</v>
      </c>
      <c r="B11" s="162" t="s">
        <v>20</v>
      </c>
      <c r="C11" s="281">
        <f aca="true" t="shared" si="0" ref="C11:C19">D11+E11+F11</f>
        <v>764882</v>
      </c>
      <c r="D11" s="281">
        <v>464111</v>
      </c>
      <c r="E11" s="281">
        <v>274315</v>
      </c>
      <c r="F11" s="281">
        <v>26456</v>
      </c>
      <c r="G11" s="161">
        <v>2</v>
      </c>
      <c r="H11" s="162" t="s">
        <v>21</v>
      </c>
      <c r="I11" s="292">
        <f aca="true" t="shared" si="1" ref="I11:I17">J11+K11+L11</f>
        <v>1488</v>
      </c>
      <c r="J11" s="292">
        <v>1488</v>
      </c>
      <c r="K11" s="292"/>
      <c r="L11" s="292"/>
      <c r="M11" s="10"/>
      <c r="N11" s="10"/>
    </row>
    <row r="12" spans="1:14" s="11" customFormat="1" ht="15">
      <c r="A12" s="161">
        <v>3</v>
      </c>
      <c r="B12" s="162" t="s">
        <v>22</v>
      </c>
      <c r="C12" s="281"/>
      <c r="D12" s="282"/>
      <c r="E12" s="282"/>
      <c r="F12" s="282"/>
      <c r="G12" s="161">
        <v>3</v>
      </c>
      <c r="H12" s="162" t="s">
        <v>23</v>
      </c>
      <c r="I12" s="292">
        <f t="shared" si="1"/>
        <v>8019685</v>
      </c>
      <c r="J12" s="292">
        <v>1897190</v>
      </c>
      <c r="K12" s="292">
        <v>5080552</v>
      </c>
      <c r="L12" s="292">
        <v>1041943</v>
      </c>
      <c r="M12" s="10"/>
      <c r="N12" s="10"/>
    </row>
    <row r="13" spans="1:14" s="11" customFormat="1" ht="15">
      <c r="A13" s="161">
        <v>4</v>
      </c>
      <c r="B13" s="162" t="s">
        <v>24</v>
      </c>
      <c r="C13" s="281">
        <f t="shared" si="0"/>
        <v>90387</v>
      </c>
      <c r="D13" s="283">
        <v>69714</v>
      </c>
      <c r="E13" s="283">
        <v>15561</v>
      </c>
      <c r="F13" s="283">
        <v>5112</v>
      </c>
      <c r="G13" s="161">
        <v>4</v>
      </c>
      <c r="H13" s="162" t="s">
        <v>25</v>
      </c>
      <c r="I13" s="292">
        <f t="shared" si="1"/>
        <v>1400</v>
      </c>
      <c r="J13" s="292">
        <v>1400</v>
      </c>
      <c r="K13" s="292"/>
      <c r="L13" s="292"/>
      <c r="M13" s="10"/>
      <c r="N13" s="10"/>
    </row>
    <row r="14" spans="1:14" s="11" customFormat="1" ht="15">
      <c r="A14" s="161">
        <v>5</v>
      </c>
      <c r="B14" s="162" t="s">
        <v>26</v>
      </c>
      <c r="C14" s="281">
        <f t="shared" si="0"/>
        <v>1876091</v>
      </c>
      <c r="D14" s="282">
        <v>1346125</v>
      </c>
      <c r="E14" s="282">
        <v>462631</v>
      </c>
      <c r="F14" s="282">
        <v>67335</v>
      </c>
      <c r="G14" s="161">
        <v>5</v>
      </c>
      <c r="H14" s="162" t="s">
        <v>27</v>
      </c>
      <c r="I14" s="292">
        <f t="shared" si="1"/>
        <v>8185275</v>
      </c>
      <c r="J14" s="292">
        <v>7017103</v>
      </c>
      <c r="K14" s="292">
        <v>1168172</v>
      </c>
      <c r="L14" s="292"/>
      <c r="M14" s="10"/>
      <c r="N14" s="10"/>
    </row>
    <row r="15" spans="1:14" s="11" customFormat="1" ht="15">
      <c r="A15" s="161">
        <v>6</v>
      </c>
      <c r="B15" s="162" t="s">
        <v>28</v>
      </c>
      <c r="C15" s="281">
        <f t="shared" si="0"/>
        <v>3854</v>
      </c>
      <c r="D15" s="282">
        <v>3304</v>
      </c>
      <c r="E15" s="282">
        <v>550</v>
      </c>
      <c r="F15" s="282"/>
      <c r="G15" s="161">
        <v>6</v>
      </c>
      <c r="H15" s="162" t="s">
        <v>29</v>
      </c>
      <c r="I15" s="292">
        <f t="shared" si="1"/>
        <v>3431121</v>
      </c>
      <c r="J15" s="292">
        <v>2348035</v>
      </c>
      <c r="K15" s="292">
        <v>915624</v>
      </c>
      <c r="L15" s="292">
        <v>167462</v>
      </c>
      <c r="M15" s="10"/>
      <c r="N15" s="10"/>
    </row>
    <row r="16" spans="1:14" s="11" customFormat="1" ht="15">
      <c r="A16" s="161">
        <v>7</v>
      </c>
      <c r="B16" s="162" t="s">
        <v>30</v>
      </c>
      <c r="C16" s="281">
        <f t="shared" si="0"/>
        <v>18084890</v>
      </c>
      <c r="D16" s="282">
        <f>SUM(D17:D18)</f>
        <v>9899615</v>
      </c>
      <c r="E16" s="282">
        <f>SUM(E17:E18)</f>
        <v>7017103</v>
      </c>
      <c r="F16" s="282">
        <f>SUM(F17:F18)</f>
        <v>1168172</v>
      </c>
      <c r="G16" s="161">
        <v>7</v>
      </c>
      <c r="H16" s="162" t="s">
        <v>31</v>
      </c>
      <c r="I16" s="292">
        <f t="shared" si="1"/>
        <v>246910</v>
      </c>
      <c r="J16" s="292">
        <v>111499</v>
      </c>
      <c r="K16" s="292">
        <v>123436</v>
      </c>
      <c r="L16" s="292">
        <v>11975</v>
      </c>
      <c r="M16" s="10"/>
      <c r="N16" s="10"/>
    </row>
    <row r="17" spans="1:14" s="11" customFormat="1" ht="15">
      <c r="A17" s="161"/>
      <c r="B17" s="162" t="s">
        <v>32</v>
      </c>
      <c r="C17" s="281">
        <f t="shared" si="0"/>
        <v>13698036</v>
      </c>
      <c r="D17" s="282">
        <v>7484019</v>
      </c>
      <c r="E17" s="282">
        <v>5343717</v>
      </c>
      <c r="F17" s="282">
        <v>870300</v>
      </c>
      <c r="G17" s="161">
        <v>8</v>
      </c>
      <c r="H17" s="162" t="s">
        <v>33</v>
      </c>
      <c r="I17" s="292">
        <f t="shared" si="1"/>
        <v>3854</v>
      </c>
      <c r="J17" s="292">
        <v>3304</v>
      </c>
      <c r="K17" s="292">
        <v>550</v>
      </c>
      <c r="L17" s="292"/>
      <c r="M17" s="10"/>
      <c r="N17" s="10"/>
    </row>
    <row r="18" spans="1:14" s="11" customFormat="1" ht="13.5" customHeight="1">
      <c r="A18" s="161"/>
      <c r="B18" s="162" t="s">
        <v>403</v>
      </c>
      <c r="C18" s="281">
        <f t="shared" si="0"/>
        <v>4386854</v>
      </c>
      <c r="D18" s="282">
        <v>2415596</v>
      </c>
      <c r="E18" s="282">
        <v>1673386</v>
      </c>
      <c r="F18" s="282">
        <v>297872</v>
      </c>
      <c r="G18" s="161"/>
      <c r="H18" s="162"/>
      <c r="I18" s="292"/>
      <c r="J18" s="292"/>
      <c r="K18" s="292"/>
      <c r="L18" s="292"/>
      <c r="M18" s="10"/>
      <c r="N18" s="10"/>
    </row>
    <row r="19" spans="1:14" s="11" customFormat="1" ht="15" customHeight="1">
      <c r="A19" s="161">
        <v>8</v>
      </c>
      <c r="B19" s="162" t="s">
        <v>34</v>
      </c>
      <c r="C19" s="281">
        <f t="shared" si="0"/>
        <v>135411</v>
      </c>
      <c r="D19" s="282">
        <v>123436</v>
      </c>
      <c r="E19" s="282">
        <v>11975</v>
      </c>
      <c r="F19" s="282"/>
      <c r="G19" s="161"/>
      <c r="H19" s="162"/>
      <c r="I19" s="292"/>
      <c r="J19" s="292"/>
      <c r="K19" s="292"/>
      <c r="L19" s="292"/>
      <c r="M19" s="10"/>
      <c r="N19" s="10"/>
    </row>
    <row r="20" spans="1:14" s="14" customFormat="1" ht="27">
      <c r="A20" s="161" t="s">
        <v>35</v>
      </c>
      <c r="B20" s="162" t="s">
        <v>36</v>
      </c>
      <c r="C20" s="282">
        <f>C8-I8</f>
        <v>67078</v>
      </c>
      <c r="D20" s="282">
        <f>D8-J8</f>
        <v>56914</v>
      </c>
      <c r="E20" s="282">
        <f>E8-K8</f>
        <v>6430</v>
      </c>
      <c r="F20" s="282">
        <f>F8-L8</f>
        <v>3734</v>
      </c>
      <c r="G20" s="161"/>
      <c r="H20" s="162"/>
      <c r="I20" s="292"/>
      <c r="J20" s="292"/>
      <c r="K20" s="282"/>
      <c r="L20" s="282"/>
      <c r="M20" s="13"/>
      <c r="N20" s="13"/>
    </row>
    <row r="21" spans="1:14" s="11" customFormat="1" ht="17.25" customHeight="1">
      <c r="A21" s="161" t="s">
        <v>35</v>
      </c>
      <c r="B21" s="162" t="s">
        <v>37</v>
      </c>
      <c r="C21" s="281"/>
      <c r="D21" s="282"/>
      <c r="E21" s="282"/>
      <c r="F21" s="282"/>
      <c r="G21" s="161"/>
      <c r="H21" s="162"/>
      <c r="I21" s="292"/>
      <c r="J21" s="292"/>
      <c r="K21" s="292"/>
      <c r="L21" s="282"/>
      <c r="M21" s="10"/>
      <c r="N21" s="10"/>
    </row>
    <row r="22" spans="1:14" s="4" customFormat="1" ht="27">
      <c r="A22" s="159" t="s">
        <v>38</v>
      </c>
      <c r="B22" s="160" t="s">
        <v>39</v>
      </c>
      <c r="C22" s="280">
        <f aca="true" t="shared" si="2" ref="C22:C27">D22</f>
        <v>19081</v>
      </c>
      <c r="D22" s="284">
        <f>SUM(D23:D27)</f>
        <v>19081</v>
      </c>
      <c r="E22" s="280"/>
      <c r="F22" s="280"/>
      <c r="G22" s="159" t="s">
        <v>38</v>
      </c>
      <c r="H22" s="160" t="s">
        <v>40</v>
      </c>
      <c r="I22" s="291">
        <f>J22</f>
        <v>4399</v>
      </c>
      <c r="J22" s="291">
        <f>J23</f>
        <v>4399</v>
      </c>
      <c r="K22" s="292"/>
      <c r="L22" s="282"/>
      <c r="M22" s="2"/>
      <c r="N22" s="2"/>
    </row>
    <row r="23" spans="1:14" s="4" customFormat="1" ht="34.5" customHeight="1">
      <c r="A23" s="163">
        <v>1</v>
      </c>
      <c r="B23" s="164" t="s">
        <v>41</v>
      </c>
      <c r="C23" s="285">
        <f t="shared" si="2"/>
        <v>1832</v>
      </c>
      <c r="D23" s="285">
        <v>1832</v>
      </c>
      <c r="E23" s="286"/>
      <c r="F23" s="286"/>
      <c r="G23" s="163">
        <v>1</v>
      </c>
      <c r="H23" s="164" t="s">
        <v>280</v>
      </c>
      <c r="I23" s="293">
        <f>J23</f>
        <v>4399</v>
      </c>
      <c r="J23" s="293">
        <v>4399</v>
      </c>
      <c r="K23" s="293"/>
      <c r="L23" s="294"/>
      <c r="M23" s="2"/>
      <c r="N23" s="2"/>
    </row>
    <row r="24" spans="1:14" s="4" customFormat="1" ht="33" customHeight="1">
      <c r="A24" s="161">
        <v>2</v>
      </c>
      <c r="B24" s="162" t="s">
        <v>42</v>
      </c>
      <c r="C24" s="283">
        <f t="shared" si="2"/>
        <v>5023</v>
      </c>
      <c r="D24" s="283">
        <v>5023</v>
      </c>
      <c r="E24" s="287"/>
      <c r="F24" s="287"/>
      <c r="G24" s="161"/>
      <c r="H24" s="162"/>
      <c r="I24" s="292"/>
      <c r="J24" s="292"/>
      <c r="K24" s="292"/>
      <c r="L24" s="281"/>
      <c r="M24" s="2"/>
      <c r="N24" s="2"/>
    </row>
    <row r="25" spans="1:14" s="4" customFormat="1" ht="19.5" customHeight="1">
      <c r="A25" s="161">
        <v>3</v>
      </c>
      <c r="B25" s="162" t="s">
        <v>44</v>
      </c>
      <c r="C25" s="283">
        <f t="shared" si="2"/>
        <v>2345</v>
      </c>
      <c r="D25" s="283">
        <v>2345</v>
      </c>
      <c r="E25" s="287"/>
      <c r="F25" s="287"/>
      <c r="G25" s="161"/>
      <c r="H25" s="162"/>
      <c r="I25" s="292"/>
      <c r="J25" s="292"/>
      <c r="K25" s="292"/>
      <c r="L25" s="281"/>
      <c r="M25" s="2"/>
      <c r="N25" s="2"/>
    </row>
    <row r="26" spans="1:14" s="4" customFormat="1" ht="63.75" customHeight="1">
      <c r="A26" s="161">
        <v>4</v>
      </c>
      <c r="B26" s="162" t="s">
        <v>45</v>
      </c>
      <c r="C26" s="283">
        <f t="shared" si="2"/>
        <v>561</v>
      </c>
      <c r="D26" s="283">
        <v>561</v>
      </c>
      <c r="E26" s="287"/>
      <c r="F26" s="287"/>
      <c r="G26" s="161"/>
      <c r="H26" s="162"/>
      <c r="I26" s="292"/>
      <c r="J26" s="292"/>
      <c r="K26" s="292"/>
      <c r="L26" s="281"/>
      <c r="M26" s="2"/>
      <c r="N26" s="2"/>
    </row>
    <row r="27" spans="1:14" s="4" customFormat="1" ht="30.75" customHeight="1">
      <c r="A27" s="165">
        <v>5</v>
      </c>
      <c r="B27" s="166" t="s">
        <v>46</v>
      </c>
      <c r="C27" s="288">
        <f t="shared" si="2"/>
        <v>9320</v>
      </c>
      <c r="D27" s="288">
        <f>8500+123+697</f>
        <v>9320</v>
      </c>
      <c r="E27" s="289"/>
      <c r="F27" s="289"/>
      <c r="G27" s="167"/>
      <c r="H27" s="168"/>
      <c r="I27" s="295"/>
      <c r="J27" s="289"/>
      <c r="K27" s="289"/>
      <c r="L27" s="289"/>
      <c r="M27" s="2"/>
      <c r="N27" s="2"/>
    </row>
    <row r="28" spans="1:12" ht="30.75" customHeight="1" hidden="1">
      <c r="A28" s="488" t="s">
        <v>373</v>
      </c>
      <c r="B28" s="488"/>
      <c r="C28" s="488"/>
      <c r="D28" s="488" t="s">
        <v>374</v>
      </c>
      <c r="E28" s="488"/>
      <c r="F28" s="488"/>
      <c r="G28" s="488"/>
      <c r="H28" s="488"/>
      <c r="I28" s="488" t="s">
        <v>375</v>
      </c>
      <c r="J28" s="488"/>
      <c r="K28" s="488"/>
      <c r="L28" s="488"/>
    </row>
    <row r="29" spans="1:12" ht="16.5" hidden="1">
      <c r="A29" s="484" t="s">
        <v>363</v>
      </c>
      <c r="B29" s="484"/>
      <c r="C29" s="484"/>
      <c r="D29" s="484" t="s">
        <v>337</v>
      </c>
      <c r="E29" s="484"/>
      <c r="F29" s="484"/>
      <c r="G29" s="484"/>
      <c r="H29" s="484"/>
      <c r="I29" s="484" t="s">
        <v>364</v>
      </c>
      <c r="J29" s="484"/>
      <c r="K29" s="484"/>
      <c r="L29" s="484"/>
    </row>
    <row r="30" spans="1:12" ht="16.5" hidden="1">
      <c r="A30" s="19"/>
      <c r="B30" s="19"/>
      <c r="C30" s="19"/>
      <c r="D30" s="19"/>
      <c r="E30" s="19"/>
      <c r="F30" s="19"/>
      <c r="G30" s="18"/>
      <c r="H30" s="19"/>
      <c r="I30" s="484" t="s">
        <v>495</v>
      </c>
      <c r="J30" s="484"/>
      <c r="K30" s="484"/>
      <c r="L30" s="484"/>
    </row>
    <row r="31" spans="1:12" ht="16.5" hidden="1">
      <c r="A31" s="19"/>
      <c r="B31" s="19"/>
      <c r="C31" s="19"/>
      <c r="D31" s="19"/>
      <c r="E31" s="19"/>
      <c r="F31" s="19"/>
      <c r="G31" s="18"/>
      <c r="H31" s="19"/>
      <c r="I31" s="484"/>
      <c r="J31" s="484"/>
      <c r="K31" s="484"/>
      <c r="L31" s="484"/>
    </row>
    <row r="32" spans="1:12" ht="16.5" hidden="1">
      <c r="A32" s="19"/>
      <c r="B32" s="19"/>
      <c r="C32" s="19"/>
      <c r="D32" s="19"/>
      <c r="E32" s="19"/>
      <c r="F32" s="19"/>
      <c r="G32" s="18"/>
      <c r="H32" s="19"/>
      <c r="I32" s="19"/>
      <c r="J32" s="19"/>
      <c r="K32" s="19"/>
      <c r="L32" s="19"/>
    </row>
    <row r="33" spans="1:12" ht="16.5" hidden="1">
      <c r="A33" s="19"/>
      <c r="B33" s="19"/>
      <c r="C33" s="19"/>
      <c r="D33" s="19"/>
      <c r="E33" s="19"/>
      <c r="F33" s="19"/>
      <c r="G33" s="18"/>
      <c r="H33" s="19"/>
      <c r="I33" s="19"/>
      <c r="J33" s="19"/>
      <c r="K33" s="19"/>
      <c r="L33" s="19"/>
    </row>
    <row r="34" spans="1:12" ht="16.5" hidden="1">
      <c r="A34" s="19"/>
      <c r="B34" s="19"/>
      <c r="C34" s="19"/>
      <c r="D34" s="19"/>
      <c r="E34" s="19"/>
      <c r="F34" s="19"/>
      <c r="G34" s="18"/>
      <c r="H34" s="19"/>
      <c r="I34" s="19"/>
      <c r="J34" s="19"/>
      <c r="K34" s="19"/>
      <c r="L34" s="19"/>
    </row>
    <row r="35" spans="1:12" ht="16.5" hidden="1">
      <c r="A35" s="19"/>
      <c r="B35" s="19"/>
      <c r="C35" s="19"/>
      <c r="D35" s="19"/>
      <c r="E35" s="19"/>
      <c r="F35" s="19"/>
      <c r="G35" s="18"/>
      <c r="H35" s="19"/>
      <c r="I35" s="19"/>
      <c r="J35" s="19"/>
      <c r="K35" s="19"/>
      <c r="L35" s="19"/>
    </row>
    <row r="36" spans="1:12" ht="16.5" hidden="1">
      <c r="A36" s="19"/>
      <c r="B36" s="18" t="s">
        <v>739</v>
      </c>
      <c r="C36" s="19"/>
      <c r="D36" s="484" t="s">
        <v>338</v>
      </c>
      <c r="E36" s="484"/>
      <c r="F36" s="484"/>
      <c r="G36" s="484"/>
      <c r="H36" s="484"/>
      <c r="I36" s="484" t="s">
        <v>729</v>
      </c>
      <c r="J36" s="484"/>
      <c r="K36" s="484"/>
      <c r="L36" s="484"/>
    </row>
    <row r="39" spans="1:12" s="17" customFormat="1" ht="15">
      <c r="A39" s="488"/>
      <c r="B39" s="488"/>
      <c r="C39" s="488"/>
      <c r="D39" s="488"/>
      <c r="E39" s="488"/>
      <c r="F39" s="488"/>
      <c r="G39" s="488"/>
      <c r="H39" s="488"/>
      <c r="I39" s="488"/>
      <c r="J39" s="488"/>
      <c r="K39" s="488"/>
      <c r="L39" s="488"/>
    </row>
    <row r="40" spans="1:12" ht="16.5">
      <c r="A40" s="484"/>
      <c r="B40" s="484"/>
      <c r="C40" s="484"/>
      <c r="D40" s="484"/>
      <c r="E40" s="484"/>
      <c r="F40" s="484"/>
      <c r="G40" s="484"/>
      <c r="H40" s="484"/>
      <c r="I40" s="484"/>
      <c r="J40" s="484"/>
      <c r="K40" s="484"/>
      <c r="L40" s="484"/>
    </row>
    <row r="41" spans="1:12" ht="16.5">
      <c r="A41" s="19"/>
      <c r="B41" s="19"/>
      <c r="C41" s="19"/>
      <c r="D41" s="19"/>
      <c r="E41" s="19"/>
      <c r="F41" s="19"/>
      <c r="G41" s="18"/>
      <c r="H41" s="19"/>
      <c r="I41" s="484"/>
      <c r="J41" s="484"/>
      <c r="K41" s="484"/>
      <c r="L41" s="484"/>
    </row>
    <row r="42" spans="1:12" ht="16.5">
      <c r="A42" s="19"/>
      <c r="B42" s="19"/>
      <c r="C42" s="19"/>
      <c r="D42" s="19"/>
      <c r="E42" s="19"/>
      <c r="F42" s="19"/>
      <c r="G42" s="18"/>
      <c r="H42" s="19"/>
      <c r="I42" s="484"/>
      <c r="J42" s="484"/>
      <c r="K42" s="484"/>
      <c r="L42" s="484"/>
    </row>
    <row r="43" spans="1:12" ht="13.5" customHeight="1">
      <c r="A43" s="19"/>
      <c r="B43" s="19"/>
      <c r="C43" s="19"/>
      <c r="D43" s="19"/>
      <c r="E43" s="19"/>
      <c r="F43" s="19"/>
      <c r="G43" s="18"/>
      <c r="H43" s="19"/>
      <c r="I43" s="19"/>
      <c r="J43" s="19"/>
      <c r="K43" s="19"/>
      <c r="L43" s="19"/>
    </row>
    <row r="44" spans="1:12" ht="12.75" customHeight="1">
      <c r="A44" s="19"/>
      <c r="B44" s="19"/>
      <c r="C44" s="19"/>
      <c r="D44" s="19"/>
      <c r="E44" s="19"/>
      <c r="F44" s="19"/>
      <c r="G44" s="18"/>
      <c r="H44" s="19"/>
      <c r="I44" s="19"/>
      <c r="J44" s="19"/>
      <c r="K44" s="19"/>
      <c r="L44" s="19"/>
    </row>
    <row r="45" spans="1:12" ht="12" customHeight="1">
      <c r="A45" s="19"/>
      <c r="B45" s="19"/>
      <c r="C45" s="19"/>
      <c r="D45" s="19"/>
      <c r="E45" s="19"/>
      <c r="F45" s="19"/>
      <c r="G45" s="18"/>
      <c r="H45" s="19"/>
      <c r="I45" s="19"/>
      <c r="J45" s="19"/>
      <c r="K45" s="19"/>
      <c r="L45" s="19"/>
    </row>
    <row r="46" spans="1:12" ht="16.5">
      <c r="A46" s="19"/>
      <c r="B46" s="19"/>
      <c r="C46" s="19"/>
      <c r="D46" s="19"/>
      <c r="E46" s="19"/>
      <c r="F46" s="19"/>
      <c r="G46" s="18"/>
      <c r="H46" s="19"/>
      <c r="I46" s="19"/>
      <c r="J46" s="19"/>
      <c r="K46" s="19"/>
      <c r="L46" s="19"/>
    </row>
    <row r="47" spans="1:12" ht="16.5">
      <c r="A47" s="19"/>
      <c r="B47" s="19"/>
      <c r="C47" s="19"/>
      <c r="D47" s="484"/>
      <c r="E47" s="484"/>
      <c r="F47" s="484"/>
      <c r="G47" s="484"/>
      <c r="H47" s="484"/>
      <c r="I47" s="484"/>
      <c r="J47" s="484"/>
      <c r="K47" s="484"/>
      <c r="L47" s="484"/>
    </row>
  </sheetData>
  <sheetProtection/>
  <mergeCells count="26">
    <mergeCell ref="I31:L31"/>
    <mergeCell ref="I41:L41"/>
    <mergeCell ref="I42:L42"/>
    <mergeCell ref="D47:H47"/>
    <mergeCell ref="I47:L47"/>
    <mergeCell ref="D36:H36"/>
    <mergeCell ref="I36:L36"/>
    <mergeCell ref="A39:C39"/>
    <mergeCell ref="D39:H39"/>
    <mergeCell ref="I39:L39"/>
    <mergeCell ref="A28:C28"/>
    <mergeCell ref="D28:H28"/>
    <mergeCell ref="A40:C40"/>
    <mergeCell ref="D40:H40"/>
    <mergeCell ref="I40:L40"/>
    <mergeCell ref="I28:L28"/>
    <mergeCell ref="A29:C29"/>
    <mergeCell ref="D29:H29"/>
    <mergeCell ref="I29:L29"/>
    <mergeCell ref="I30:L30"/>
    <mergeCell ref="K4:L4"/>
    <mergeCell ref="H1:L1"/>
    <mergeCell ref="A2:L2"/>
    <mergeCell ref="A3:L3"/>
    <mergeCell ref="B5:B6"/>
    <mergeCell ref="H5:H6"/>
  </mergeCells>
  <printOptions horizontalCentered="1"/>
  <pageMargins left="0.5" right="0.2" top="0.7" bottom="0.5" header="0.31496062992126" footer="0.31496062992126"/>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N170"/>
  <sheetViews>
    <sheetView workbookViewId="0" topLeftCell="A1">
      <selection activeCell="B25" sqref="B25"/>
    </sheetView>
  </sheetViews>
  <sheetFormatPr defaultColWidth="11.57421875" defaultRowHeight="15"/>
  <cols>
    <col min="1" max="1" width="7.28125" style="34" customWidth="1"/>
    <col min="2" max="2" width="62.8515625" style="34" customWidth="1"/>
    <col min="3" max="7" width="13.421875" style="34" customWidth="1"/>
    <col min="8" max="8" width="14.7109375" style="34" customWidth="1"/>
    <col min="9" max="9" width="12.7109375" style="34" customWidth="1"/>
    <col min="10" max="11" width="14.28125" style="34" customWidth="1"/>
    <col min="12" max="12" width="11.57421875" style="34" customWidth="1"/>
    <col min="13" max="13" width="12.00390625" style="34" hidden="1" customWidth="1"/>
    <col min="14" max="14" width="11.8515625" style="34" hidden="1" customWidth="1"/>
    <col min="15" max="16384" width="11.57421875" style="34" customWidth="1"/>
  </cols>
  <sheetData>
    <row r="1" spans="1:11" ht="15.75" customHeight="1">
      <c r="A1" s="490" t="str">
        <f>'[1]60-TT342'!A1</f>
        <v>UBND TỈNH LẠNG SƠN</v>
      </c>
      <c r="B1" s="490"/>
      <c r="C1" s="20"/>
      <c r="D1" s="20"/>
      <c r="E1" s="21"/>
      <c r="F1" s="21"/>
      <c r="G1" s="486" t="s">
        <v>47</v>
      </c>
      <c r="H1" s="486"/>
      <c r="I1" s="486"/>
      <c r="J1" s="486"/>
      <c r="K1" s="486"/>
    </row>
    <row r="2" spans="1:11" ht="17.25">
      <c r="A2" s="491" t="s">
        <v>376</v>
      </c>
      <c r="B2" s="492"/>
      <c r="C2" s="492"/>
      <c r="D2" s="492"/>
      <c r="E2" s="492"/>
      <c r="F2" s="492"/>
      <c r="G2" s="492"/>
      <c r="H2" s="492"/>
      <c r="I2" s="492"/>
      <c r="J2" s="492"/>
      <c r="K2" s="492"/>
    </row>
    <row r="3" spans="1:11" ht="15">
      <c r="A3" s="493" t="str">
        <f>'60'!A3:L3</f>
        <v>(Kèm theo Báo cáo số  571 /BC-UBND ngày  10  tháng 11 năm 2023 của Ủy ban nhân dân tỉnh)</v>
      </c>
      <c r="B3" s="493"/>
      <c r="C3" s="493"/>
      <c r="D3" s="493"/>
      <c r="E3" s="493"/>
      <c r="F3" s="493"/>
      <c r="G3" s="493"/>
      <c r="H3" s="493"/>
      <c r="I3" s="493"/>
      <c r="J3" s="493"/>
      <c r="K3" s="493"/>
    </row>
    <row r="4" spans="1:11" ht="13.5">
      <c r="A4" s="22"/>
      <c r="B4" s="23"/>
      <c r="C4" s="24"/>
      <c r="D4" s="24"/>
      <c r="E4" s="24"/>
      <c r="F4" s="21"/>
      <c r="G4" s="199"/>
      <c r="H4" s="24"/>
      <c r="I4" s="21"/>
      <c r="J4" s="25"/>
      <c r="K4" s="26" t="s">
        <v>2</v>
      </c>
    </row>
    <row r="5" spans="1:11" ht="22.5" customHeight="1">
      <c r="A5" s="494" t="s">
        <v>48</v>
      </c>
      <c r="B5" s="495" t="s">
        <v>49</v>
      </c>
      <c r="C5" s="495" t="s">
        <v>474</v>
      </c>
      <c r="D5" s="495"/>
      <c r="E5" s="496" t="s">
        <v>50</v>
      </c>
      <c r="F5" s="495" t="s">
        <v>51</v>
      </c>
      <c r="G5" s="495"/>
      <c r="H5" s="495"/>
      <c r="I5" s="495"/>
      <c r="J5" s="495" t="s">
        <v>52</v>
      </c>
      <c r="K5" s="495"/>
    </row>
    <row r="6" spans="1:11" ht="15" customHeight="1">
      <c r="A6" s="494"/>
      <c r="B6" s="495"/>
      <c r="C6" s="495" t="s">
        <v>53</v>
      </c>
      <c r="D6" s="495" t="s">
        <v>54</v>
      </c>
      <c r="E6" s="496"/>
      <c r="F6" s="495" t="s">
        <v>55</v>
      </c>
      <c r="G6" s="496" t="s">
        <v>56</v>
      </c>
      <c r="H6" s="496" t="s">
        <v>57</v>
      </c>
      <c r="I6" s="496" t="s">
        <v>58</v>
      </c>
      <c r="J6" s="495" t="s">
        <v>53</v>
      </c>
      <c r="K6" s="495" t="s">
        <v>54</v>
      </c>
    </row>
    <row r="7" spans="1:11" ht="18.75" customHeight="1">
      <c r="A7" s="494"/>
      <c r="B7" s="495"/>
      <c r="C7" s="495"/>
      <c r="D7" s="495"/>
      <c r="E7" s="496"/>
      <c r="F7" s="495"/>
      <c r="G7" s="496"/>
      <c r="H7" s="496"/>
      <c r="I7" s="496"/>
      <c r="J7" s="495"/>
      <c r="K7" s="495"/>
    </row>
    <row r="8" spans="1:11" ht="17.25" customHeight="1">
      <c r="A8" s="27" t="s">
        <v>15</v>
      </c>
      <c r="B8" s="252" t="s">
        <v>38</v>
      </c>
      <c r="C8" s="252">
        <v>1</v>
      </c>
      <c r="D8" s="252">
        <v>2</v>
      </c>
      <c r="E8" s="252" t="s">
        <v>59</v>
      </c>
      <c r="F8" s="252">
        <v>4</v>
      </c>
      <c r="G8" s="252">
        <v>5</v>
      </c>
      <c r="H8" s="252">
        <v>6</v>
      </c>
      <c r="I8" s="252">
        <v>7</v>
      </c>
      <c r="J8" s="252" t="s">
        <v>60</v>
      </c>
      <c r="K8" s="252" t="s">
        <v>61</v>
      </c>
    </row>
    <row r="9" spans="1:12" s="30" customFormat="1" ht="24" customHeight="1">
      <c r="A9" s="28"/>
      <c r="B9" s="253" t="s">
        <v>62</v>
      </c>
      <c r="C9" s="298">
        <f aca="true" t="shared" si="0" ref="C9:I9">C10+C98+C105+C112+C113</f>
        <v>16580593</v>
      </c>
      <c r="D9" s="298">
        <f t="shared" si="0"/>
        <v>16680593</v>
      </c>
      <c r="E9" s="298">
        <f t="shared" si="0"/>
        <v>27613102</v>
      </c>
      <c r="F9" s="298">
        <f t="shared" si="0"/>
        <v>4684571</v>
      </c>
      <c r="G9" s="298">
        <f t="shared" si="0"/>
        <v>13041043</v>
      </c>
      <c r="H9" s="298">
        <f t="shared" si="0"/>
        <v>8583779</v>
      </c>
      <c r="I9" s="298">
        <f t="shared" si="0"/>
        <v>1303709</v>
      </c>
      <c r="J9" s="299">
        <f>E9/C9*100</f>
        <v>166.53868772968494</v>
      </c>
      <c r="K9" s="299">
        <f>E9/D9*100</f>
        <v>165.54028984461164</v>
      </c>
      <c r="L9" s="29"/>
    </row>
    <row r="10" spans="1:12" s="30" customFormat="1" ht="19.5" customHeight="1">
      <c r="A10" s="31" t="s">
        <v>15</v>
      </c>
      <c r="B10" s="254" t="s">
        <v>63</v>
      </c>
      <c r="C10" s="300">
        <f aca="true" t="shared" si="1" ref="C10:I10">C11+C77+C78+C88+C92+C89</f>
        <v>7750000</v>
      </c>
      <c r="D10" s="300">
        <f t="shared" si="1"/>
        <v>7850000</v>
      </c>
      <c r="E10" s="300">
        <f>E11+E77+E78+E88+E92+E89</f>
        <v>7295743</v>
      </c>
      <c r="F10" s="300">
        <f t="shared" si="1"/>
        <v>4573072</v>
      </c>
      <c r="G10" s="300">
        <f t="shared" si="1"/>
        <v>1583072</v>
      </c>
      <c r="H10" s="300">
        <f t="shared" si="1"/>
        <v>1076509</v>
      </c>
      <c r="I10" s="300">
        <f t="shared" si="1"/>
        <v>63090</v>
      </c>
      <c r="J10" s="301">
        <f>E10/C10*100</f>
        <v>94.13861935483871</v>
      </c>
      <c r="K10" s="301">
        <f>E10/D10*100</f>
        <v>92.93940127388535</v>
      </c>
      <c r="L10" s="29"/>
    </row>
    <row r="11" spans="1:11" s="30" customFormat="1" ht="19.5" customHeight="1">
      <c r="A11" s="31" t="s">
        <v>64</v>
      </c>
      <c r="B11" s="254" t="s">
        <v>65</v>
      </c>
      <c r="C11" s="300">
        <f aca="true" t="shared" si="2" ref="C11:I11">C12+C20+C26+C36+C42+C43+C44+C45+C46+C49+C54+C57+C58+C61+C64+C67+C68+C71+C74+C75+C76</f>
        <v>2250000</v>
      </c>
      <c r="D11" s="300">
        <f t="shared" si="2"/>
        <v>2350000</v>
      </c>
      <c r="E11" s="300">
        <f t="shared" si="2"/>
        <v>2931584</v>
      </c>
      <c r="F11" s="300">
        <f t="shared" si="2"/>
        <v>217930</v>
      </c>
      <c r="G11" s="300">
        <f t="shared" si="2"/>
        <v>1576556</v>
      </c>
      <c r="H11" s="300">
        <f t="shared" si="2"/>
        <v>1074008</v>
      </c>
      <c r="I11" s="300">
        <f t="shared" si="2"/>
        <v>63090</v>
      </c>
      <c r="J11" s="301">
        <f>E11/C11*100</f>
        <v>130.29262222222223</v>
      </c>
      <c r="K11" s="301">
        <f>E11/D11*100</f>
        <v>124.74825531914892</v>
      </c>
    </row>
    <row r="12" spans="1:11" s="30" customFormat="1" ht="19.5" customHeight="1">
      <c r="A12" s="31" t="s">
        <v>66</v>
      </c>
      <c r="B12" s="255" t="s">
        <v>67</v>
      </c>
      <c r="C12" s="302">
        <f>C13+C15+C16+C18</f>
        <v>305000</v>
      </c>
      <c r="D12" s="302">
        <f>D13+D15+D16+D18</f>
        <v>305000</v>
      </c>
      <c r="E12" s="302">
        <f>E13+E15+E16+E18</f>
        <v>204707</v>
      </c>
      <c r="F12" s="302"/>
      <c r="G12" s="302">
        <f>G13+G15+G16+G18</f>
        <v>204707</v>
      </c>
      <c r="H12" s="302">
        <f>H13+H15+H16+H18</f>
        <v>0</v>
      </c>
      <c r="I12" s="302">
        <f>I13+I15+I16+I18</f>
        <v>0</v>
      </c>
      <c r="J12" s="301">
        <f>E12/C12*100</f>
        <v>67.11704918032787</v>
      </c>
      <c r="K12" s="301">
        <f>E12/D12*100</f>
        <v>67.11704918032787</v>
      </c>
    </row>
    <row r="13" spans="1:11" s="30" customFormat="1" ht="22.5" customHeight="1">
      <c r="A13" s="32" t="s">
        <v>68</v>
      </c>
      <c r="B13" s="256" t="s">
        <v>69</v>
      </c>
      <c r="C13" s="303">
        <v>163000</v>
      </c>
      <c r="D13" s="303">
        <v>163000</v>
      </c>
      <c r="E13" s="303">
        <f>F13+G13+H13+I13</f>
        <v>107408</v>
      </c>
      <c r="F13" s="303"/>
      <c r="G13" s="303">
        <v>107408</v>
      </c>
      <c r="H13" s="303"/>
      <c r="I13" s="303"/>
      <c r="J13" s="304">
        <f>E13/C13*100</f>
        <v>65.89447852760736</v>
      </c>
      <c r="K13" s="304">
        <f>E13/D13*100</f>
        <v>65.89447852760736</v>
      </c>
    </row>
    <row r="14" spans="1:11" ht="15">
      <c r="A14" s="33"/>
      <c r="B14" s="257" t="s">
        <v>70</v>
      </c>
      <c r="C14" s="305"/>
      <c r="D14" s="305"/>
      <c r="E14" s="305"/>
      <c r="F14" s="305"/>
      <c r="G14" s="305"/>
      <c r="H14" s="305"/>
      <c r="I14" s="305"/>
      <c r="J14" s="306"/>
      <c r="K14" s="306"/>
    </row>
    <row r="15" spans="1:11" s="36" customFormat="1" ht="15">
      <c r="A15" s="32" t="s">
        <v>68</v>
      </c>
      <c r="B15" s="256" t="s">
        <v>736</v>
      </c>
      <c r="C15" s="303">
        <v>58000</v>
      </c>
      <c r="D15" s="303">
        <v>58000</v>
      </c>
      <c r="E15" s="303">
        <f>F15+G15+H15+I15</f>
        <v>15033</v>
      </c>
      <c r="F15" s="303"/>
      <c r="G15" s="303">
        <v>15033</v>
      </c>
      <c r="H15" s="303"/>
      <c r="I15" s="303"/>
      <c r="J15" s="304">
        <f>E15/C15*100</f>
        <v>25.918965517241375</v>
      </c>
      <c r="K15" s="304">
        <f>E15/D15*100</f>
        <v>25.918965517241375</v>
      </c>
    </row>
    <row r="16" spans="1:11" ht="15">
      <c r="A16" s="32" t="s">
        <v>68</v>
      </c>
      <c r="B16" s="256" t="s">
        <v>71</v>
      </c>
      <c r="C16" s="303"/>
      <c r="D16" s="303"/>
      <c r="E16" s="303"/>
      <c r="F16" s="303"/>
      <c r="G16" s="303"/>
      <c r="H16" s="303"/>
      <c r="I16" s="303"/>
      <c r="J16" s="304"/>
      <c r="K16" s="304"/>
    </row>
    <row r="17" spans="1:11" ht="30.75">
      <c r="A17" s="33"/>
      <c r="B17" s="257" t="s">
        <v>72</v>
      </c>
      <c r="C17" s="305"/>
      <c r="D17" s="305"/>
      <c r="E17" s="305"/>
      <c r="F17" s="305"/>
      <c r="G17" s="305"/>
      <c r="H17" s="305"/>
      <c r="I17" s="305"/>
      <c r="J17" s="306"/>
      <c r="K17" s="306"/>
    </row>
    <row r="18" spans="1:11" s="36" customFormat="1" ht="15">
      <c r="A18" s="32" t="s">
        <v>35</v>
      </c>
      <c r="B18" s="256" t="s">
        <v>73</v>
      </c>
      <c r="C18" s="303">
        <v>84000</v>
      </c>
      <c r="D18" s="303">
        <v>84000</v>
      </c>
      <c r="E18" s="303">
        <f>F18+G18+H18+I18</f>
        <v>82266</v>
      </c>
      <c r="F18" s="303"/>
      <c r="G18" s="303">
        <v>82266</v>
      </c>
      <c r="H18" s="303"/>
      <c r="I18" s="303"/>
      <c r="J18" s="304">
        <f>E18/C18*100</f>
        <v>97.93571428571428</v>
      </c>
      <c r="K18" s="304">
        <f>E18/D18*100</f>
        <v>97.93571428571428</v>
      </c>
    </row>
    <row r="19" spans="1:11" ht="15">
      <c r="A19" s="33"/>
      <c r="B19" s="257" t="s">
        <v>74</v>
      </c>
      <c r="C19" s="305"/>
      <c r="D19" s="305"/>
      <c r="E19" s="305"/>
      <c r="F19" s="305"/>
      <c r="G19" s="305"/>
      <c r="H19" s="305"/>
      <c r="I19" s="305"/>
      <c r="J19" s="306"/>
      <c r="K19" s="306"/>
    </row>
    <row r="20" spans="1:11" s="36" customFormat="1" ht="15">
      <c r="A20" s="31" t="s">
        <v>75</v>
      </c>
      <c r="B20" s="255" t="s">
        <v>76</v>
      </c>
      <c r="C20" s="300">
        <f aca="true" t="shared" si="3" ref="C20:I20">C21+C22+C23+C25</f>
        <v>30000</v>
      </c>
      <c r="D20" s="300">
        <f t="shared" si="3"/>
        <v>30000</v>
      </c>
      <c r="E20" s="302">
        <f>E21+E22+E23+E25</f>
        <v>31467</v>
      </c>
      <c r="F20" s="302"/>
      <c r="G20" s="302">
        <f t="shared" si="3"/>
        <v>31467</v>
      </c>
      <c r="H20" s="302">
        <f t="shared" si="3"/>
        <v>0</v>
      </c>
      <c r="I20" s="302">
        <f t="shared" si="3"/>
        <v>0</v>
      </c>
      <c r="J20" s="301">
        <f>E20/C20*100</f>
        <v>104.89</v>
      </c>
      <c r="K20" s="301">
        <f>E20/D20*100</f>
        <v>104.89</v>
      </c>
    </row>
    <row r="21" spans="1:11" s="30" customFormat="1" ht="18.75" customHeight="1">
      <c r="A21" s="32" t="s">
        <v>35</v>
      </c>
      <c r="B21" s="256" t="s">
        <v>69</v>
      </c>
      <c r="C21" s="307">
        <v>20900</v>
      </c>
      <c r="D21" s="307">
        <v>20900</v>
      </c>
      <c r="E21" s="303">
        <f>F21+G21+H21+I21</f>
        <v>19672</v>
      </c>
      <c r="F21" s="303"/>
      <c r="G21" s="303">
        <v>19672</v>
      </c>
      <c r="H21" s="303"/>
      <c r="I21" s="303"/>
      <c r="J21" s="304">
        <f>E21/C21*100</f>
        <v>94.1244019138756</v>
      </c>
      <c r="K21" s="304">
        <f>E21/D21*100</f>
        <v>94.1244019138756</v>
      </c>
    </row>
    <row r="22" spans="1:11" ht="15">
      <c r="A22" s="32" t="s">
        <v>35</v>
      </c>
      <c r="B22" s="256" t="s">
        <v>736</v>
      </c>
      <c r="C22" s="307">
        <v>7500</v>
      </c>
      <c r="D22" s="307">
        <v>7500</v>
      </c>
      <c r="E22" s="303">
        <f>F22+G22+H22+I22</f>
        <v>10013</v>
      </c>
      <c r="F22" s="303"/>
      <c r="G22" s="303">
        <v>10013</v>
      </c>
      <c r="H22" s="303"/>
      <c r="I22" s="303"/>
      <c r="J22" s="304">
        <f>E22/C22*100</f>
        <v>133.50666666666666</v>
      </c>
      <c r="K22" s="304">
        <f>E22/D22*100</f>
        <v>133.50666666666666</v>
      </c>
    </row>
    <row r="23" spans="1:11" ht="15">
      <c r="A23" s="32" t="s">
        <v>35</v>
      </c>
      <c r="B23" s="256" t="s">
        <v>71</v>
      </c>
      <c r="C23" s="307"/>
      <c r="D23" s="307"/>
      <c r="E23" s="303"/>
      <c r="F23" s="303"/>
      <c r="G23" s="303"/>
      <c r="H23" s="303"/>
      <c r="I23" s="303"/>
      <c r="J23" s="304"/>
      <c r="K23" s="304"/>
    </row>
    <row r="24" spans="1:11" ht="30.75">
      <c r="A24" s="32"/>
      <c r="B24" s="257" t="s">
        <v>72</v>
      </c>
      <c r="C24" s="307"/>
      <c r="D24" s="307"/>
      <c r="E24" s="303"/>
      <c r="F24" s="303"/>
      <c r="G24" s="303"/>
      <c r="H24" s="303"/>
      <c r="I24" s="303"/>
      <c r="J24" s="304"/>
      <c r="K24" s="304"/>
    </row>
    <row r="25" spans="1:11" ht="15">
      <c r="A25" s="32" t="s">
        <v>35</v>
      </c>
      <c r="B25" s="256" t="s">
        <v>73</v>
      </c>
      <c r="C25" s="307">
        <v>1600</v>
      </c>
      <c r="D25" s="307">
        <v>1600</v>
      </c>
      <c r="E25" s="303">
        <f>F25+G25+H25+I25</f>
        <v>1782</v>
      </c>
      <c r="F25" s="303"/>
      <c r="G25" s="303">
        <v>1782</v>
      </c>
      <c r="H25" s="303"/>
      <c r="I25" s="303"/>
      <c r="J25" s="304">
        <f>E25/C25*100</f>
        <v>111.375</v>
      </c>
      <c r="K25" s="304">
        <f>E25/D25*100</f>
        <v>111.375</v>
      </c>
    </row>
    <row r="26" spans="1:11" ht="15">
      <c r="A26" s="31" t="s">
        <v>77</v>
      </c>
      <c r="B26" s="258" t="s">
        <v>78</v>
      </c>
      <c r="C26" s="300">
        <f>C27+C29+C31+C32+C34</f>
        <v>2000</v>
      </c>
      <c r="D26" s="300">
        <f>D27+D29+D31+D32+D34</f>
        <v>2000</v>
      </c>
      <c r="E26" s="300">
        <f>E27+E29+E31+E32+E34</f>
        <v>9627</v>
      </c>
      <c r="F26" s="300"/>
      <c r="G26" s="300">
        <f>G27+G29+G31+G32+G34</f>
        <v>9627</v>
      </c>
      <c r="H26" s="300"/>
      <c r="I26" s="300"/>
      <c r="J26" s="301">
        <f>E26/C26*100</f>
        <v>481.35</v>
      </c>
      <c r="K26" s="301">
        <f>E26/D26*100</f>
        <v>481.35</v>
      </c>
    </row>
    <row r="27" spans="1:11" s="30" customFormat="1" ht="15">
      <c r="A27" s="32" t="s">
        <v>68</v>
      </c>
      <c r="B27" s="256" t="s">
        <v>69</v>
      </c>
      <c r="C27" s="307">
        <v>1300</v>
      </c>
      <c r="D27" s="307">
        <v>1300</v>
      </c>
      <c r="E27" s="307">
        <f aca="true" t="shared" si="4" ref="E27:E32">F27+G27+H27+I27</f>
        <v>7302</v>
      </c>
      <c r="F27" s="308"/>
      <c r="G27" s="308">
        <v>7302</v>
      </c>
      <c r="H27" s="308"/>
      <c r="I27" s="308"/>
      <c r="J27" s="304">
        <f>E27/C27*100</f>
        <v>561.6923076923076</v>
      </c>
      <c r="K27" s="304">
        <f>E27/D27*100</f>
        <v>561.6923076923076</v>
      </c>
    </row>
    <row r="28" spans="1:11" ht="15">
      <c r="A28" s="33"/>
      <c r="B28" s="257" t="s">
        <v>79</v>
      </c>
      <c r="C28" s="307"/>
      <c r="D28" s="307"/>
      <c r="E28" s="307"/>
      <c r="F28" s="308"/>
      <c r="G28" s="308"/>
      <c r="H28" s="308"/>
      <c r="I28" s="308"/>
      <c r="J28" s="304"/>
      <c r="K28" s="304"/>
    </row>
    <row r="29" spans="1:11" ht="15">
      <c r="A29" s="32" t="s">
        <v>68</v>
      </c>
      <c r="B29" s="256" t="s">
        <v>736</v>
      </c>
      <c r="C29" s="307">
        <v>600</v>
      </c>
      <c r="D29" s="307">
        <v>600</v>
      </c>
      <c r="E29" s="307">
        <f t="shared" si="4"/>
        <v>2255</v>
      </c>
      <c r="F29" s="308"/>
      <c r="G29" s="308">
        <v>2255</v>
      </c>
      <c r="H29" s="308"/>
      <c r="I29" s="308"/>
      <c r="J29" s="304">
        <f>E29/C29*100</f>
        <v>375.8333333333333</v>
      </c>
      <c r="K29" s="304">
        <f>E29/D29*100</f>
        <v>375.8333333333333</v>
      </c>
    </row>
    <row r="30" spans="1:11" ht="15">
      <c r="A30" s="32"/>
      <c r="B30" s="257" t="s">
        <v>79</v>
      </c>
      <c r="C30" s="307"/>
      <c r="D30" s="307"/>
      <c r="E30" s="307"/>
      <c r="F30" s="308"/>
      <c r="G30" s="308"/>
      <c r="H30" s="308"/>
      <c r="I30" s="308"/>
      <c r="J30" s="304"/>
      <c r="K30" s="304"/>
    </row>
    <row r="31" spans="1:11" ht="15">
      <c r="A31" s="32" t="s">
        <v>35</v>
      </c>
      <c r="B31" s="256" t="s">
        <v>80</v>
      </c>
      <c r="C31" s="307"/>
      <c r="D31" s="307"/>
      <c r="E31" s="307"/>
      <c r="F31" s="308"/>
      <c r="G31" s="308"/>
      <c r="H31" s="308"/>
      <c r="I31" s="308"/>
      <c r="J31" s="304"/>
      <c r="K31" s="304"/>
    </row>
    <row r="32" spans="1:11" ht="15">
      <c r="A32" s="32" t="s">
        <v>68</v>
      </c>
      <c r="B32" s="256" t="s">
        <v>71</v>
      </c>
      <c r="C32" s="307">
        <v>100</v>
      </c>
      <c r="D32" s="307">
        <v>100</v>
      </c>
      <c r="E32" s="307">
        <f t="shared" si="4"/>
        <v>70</v>
      </c>
      <c r="F32" s="308"/>
      <c r="G32" s="307">
        <v>70</v>
      </c>
      <c r="H32" s="309"/>
      <c r="I32" s="308"/>
      <c r="J32" s="304">
        <f>E32/C32*100</f>
        <v>70</v>
      </c>
      <c r="K32" s="304">
        <f>E32/D32*100</f>
        <v>70</v>
      </c>
    </row>
    <row r="33" spans="1:11" ht="30.75">
      <c r="A33" s="33"/>
      <c r="B33" s="257" t="s">
        <v>72</v>
      </c>
      <c r="C33" s="307"/>
      <c r="D33" s="307"/>
      <c r="E33" s="307"/>
      <c r="F33" s="308"/>
      <c r="G33" s="308"/>
      <c r="H33" s="308"/>
      <c r="I33" s="308"/>
      <c r="J33" s="304"/>
      <c r="K33" s="304"/>
    </row>
    <row r="34" spans="1:11" ht="15">
      <c r="A34" s="32" t="s">
        <v>35</v>
      </c>
      <c r="B34" s="256" t="s">
        <v>73</v>
      </c>
      <c r="C34" s="307"/>
      <c r="D34" s="307"/>
      <c r="E34" s="307"/>
      <c r="F34" s="308"/>
      <c r="G34" s="308"/>
      <c r="H34" s="308"/>
      <c r="I34" s="308"/>
      <c r="J34" s="304"/>
      <c r="K34" s="304"/>
    </row>
    <row r="35" spans="1:11" ht="15">
      <c r="A35" s="33"/>
      <c r="B35" s="257" t="s">
        <v>81</v>
      </c>
      <c r="C35" s="307"/>
      <c r="D35" s="307"/>
      <c r="E35" s="307"/>
      <c r="F35" s="308"/>
      <c r="G35" s="308"/>
      <c r="H35" s="308"/>
      <c r="I35" s="308"/>
      <c r="J35" s="304"/>
      <c r="K35" s="304"/>
    </row>
    <row r="36" spans="1:11" ht="15">
      <c r="A36" s="31" t="s">
        <v>82</v>
      </c>
      <c r="B36" s="255" t="s">
        <v>83</v>
      </c>
      <c r="C36" s="300">
        <f aca="true" t="shared" si="5" ref="C36:I36">C37+C38+C39+C41</f>
        <v>406000</v>
      </c>
      <c r="D36" s="300">
        <f t="shared" si="5"/>
        <v>406000</v>
      </c>
      <c r="E36" s="300">
        <f t="shared" si="5"/>
        <v>458672</v>
      </c>
      <c r="F36" s="300">
        <f t="shared" si="5"/>
        <v>520</v>
      </c>
      <c r="G36" s="300">
        <f t="shared" si="5"/>
        <v>183407</v>
      </c>
      <c r="H36" s="300">
        <f>H37+H38+H39+H41</f>
        <v>248270</v>
      </c>
      <c r="I36" s="300">
        <f t="shared" si="5"/>
        <v>26475</v>
      </c>
      <c r="J36" s="301">
        <f>E36/C36*100</f>
        <v>112.97339901477832</v>
      </c>
      <c r="K36" s="301">
        <f>E36/D36*100</f>
        <v>112.97339901477832</v>
      </c>
    </row>
    <row r="37" spans="1:11" s="30" customFormat="1" ht="15">
      <c r="A37" s="32" t="s">
        <v>35</v>
      </c>
      <c r="B37" s="256" t="s">
        <v>69</v>
      </c>
      <c r="C37" s="307">
        <v>334000</v>
      </c>
      <c r="D37" s="307">
        <v>334000</v>
      </c>
      <c r="E37" s="307">
        <f>F37+G37+H37+I37</f>
        <v>357159</v>
      </c>
      <c r="F37" s="308"/>
      <c r="G37" s="308">
        <v>137397</v>
      </c>
      <c r="H37" s="308">
        <v>193979</v>
      </c>
      <c r="I37" s="308">
        <v>25783</v>
      </c>
      <c r="J37" s="304">
        <f>E37/C37*100</f>
        <v>106.93383233532934</v>
      </c>
      <c r="K37" s="304">
        <f>E37/D37*100</f>
        <v>106.93383233532934</v>
      </c>
    </row>
    <row r="38" spans="1:11" ht="15">
      <c r="A38" s="32" t="s">
        <v>35</v>
      </c>
      <c r="B38" s="256" t="s">
        <v>736</v>
      </c>
      <c r="C38" s="307">
        <v>40000</v>
      </c>
      <c r="D38" s="307">
        <v>40000</v>
      </c>
      <c r="E38" s="307">
        <f>F38+G38+H38+I38</f>
        <v>47686</v>
      </c>
      <c r="F38" s="308"/>
      <c r="G38" s="308">
        <v>32550</v>
      </c>
      <c r="H38" s="308">
        <v>14927</v>
      </c>
      <c r="I38" s="308">
        <v>209</v>
      </c>
      <c r="J38" s="304">
        <f>E38/C38*100</f>
        <v>119.215</v>
      </c>
      <c r="K38" s="304">
        <f>E38/D38*100</f>
        <v>119.215</v>
      </c>
    </row>
    <row r="39" spans="1:11" ht="15">
      <c r="A39" s="32" t="s">
        <v>35</v>
      </c>
      <c r="B39" s="256" t="s">
        <v>71</v>
      </c>
      <c r="C39" s="307">
        <v>2000</v>
      </c>
      <c r="D39" s="307">
        <v>2000</v>
      </c>
      <c r="E39" s="307">
        <f>F39+G39+H39+I39</f>
        <v>1937</v>
      </c>
      <c r="F39" s="308">
        <v>520</v>
      </c>
      <c r="G39" s="308">
        <v>374</v>
      </c>
      <c r="H39" s="308">
        <v>579</v>
      </c>
      <c r="I39" s="308">
        <v>464</v>
      </c>
      <c r="J39" s="304">
        <f>E39/C39*100</f>
        <v>96.85000000000001</v>
      </c>
      <c r="K39" s="304">
        <f>E39/D39*100</f>
        <v>96.85000000000001</v>
      </c>
    </row>
    <row r="40" spans="1:11" ht="30.75">
      <c r="A40" s="32"/>
      <c r="B40" s="257" t="s">
        <v>72</v>
      </c>
      <c r="C40" s="307"/>
      <c r="D40" s="307"/>
      <c r="E40" s="307"/>
      <c r="F40" s="308"/>
      <c r="G40" s="308"/>
      <c r="H40" s="308"/>
      <c r="I40" s="308"/>
      <c r="J40" s="304"/>
      <c r="K40" s="304"/>
    </row>
    <row r="41" spans="1:11" ht="15">
      <c r="A41" s="32" t="s">
        <v>35</v>
      </c>
      <c r="B41" s="256" t="s">
        <v>73</v>
      </c>
      <c r="C41" s="307">
        <v>30000</v>
      </c>
      <c r="D41" s="307">
        <v>30000</v>
      </c>
      <c r="E41" s="307">
        <f aca="true" t="shared" si="6" ref="E41:E49">F41+G41+H41+I41</f>
        <v>51890</v>
      </c>
      <c r="F41" s="308"/>
      <c r="G41" s="308">
        <v>13086</v>
      </c>
      <c r="H41" s="308">
        <v>38785</v>
      </c>
      <c r="I41" s="308">
        <v>19</v>
      </c>
      <c r="J41" s="304">
        <f>E41/C41*100</f>
        <v>172.96666666666667</v>
      </c>
      <c r="K41" s="304">
        <f>E41/D41*100</f>
        <v>172.96666666666667</v>
      </c>
    </row>
    <row r="42" spans="1:11" ht="15">
      <c r="A42" s="31" t="s">
        <v>84</v>
      </c>
      <c r="B42" s="255" t="s">
        <v>85</v>
      </c>
      <c r="C42" s="300">
        <v>143000</v>
      </c>
      <c r="D42" s="300">
        <v>143000</v>
      </c>
      <c r="E42" s="300">
        <f t="shared" si="6"/>
        <v>161185</v>
      </c>
      <c r="F42" s="310"/>
      <c r="G42" s="310"/>
      <c r="H42" s="310">
        <v>145133</v>
      </c>
      <c r="I42" s="310">
        <v>16052</v>
      </c>
      <c r="J42" s="311">
        <f>E42/C42*100</f>
        <v>112.71678321678323</v>
      </c>
      <c r="K42" s="311">
        <f>E42/D42*100</f>
        <v>112.71678321678323</v>
      </c>
    </row>
    <row r="43" spans="1:11" s="30" customFormat="1" ht="15">
      <c r="A43" s="35">
        <v>6</v>
      </c>
      <c r="B43" s="255" t="s">
        <v>86</v>
      </c>
      <c r="C43" s="300"/>
      <c r="D43" s="300"/>
      <c r="E43" s="300">
        <f t="shared" si="6"/>
        <v>172</v>
      </c>
      <c r="F43" s="310"/>
      <c r="G43" s="310"/>
      <c r="H43" s="310"/>
      <c r="I43" s="310">
        <v>172</v>
      </c>
      <c r="J43" s="311"/>
      <c r="K43" s="311"/>
    </row>
    <row r="44" spans="1:11" s="30" customFormat="1" ht="15">
      <c r="A44" s="31" t="s">
        <v>87</v>
      </c>
      <c r="B44" s="255" t="s">
        <v>88</v>
      </c>
      <c r="C44" s="300">
        <v>4000</v>
      </c>
      <c r="D44" s="300">
        <v>4000</v>
      </c>
      <c r="E44" s="300">
        <f t="shared" si="6"/>
        <v>9294</v>
      </c>
      <c r="F44" s="310"/>
      <c r="G44" s="310"/>
      <c r="H44" s="310">
        <v>2967</v>
      </c>
      <c r="I44" s="310">
        <v>6327</v>
      </c>
      <c r="J44" s="311">
        <f aca="true" t="shared" si="7" ref="J44:J52">E44/C44*100</f>
        <v>232.35000000000002</v>
      </c>
      <c r="K44" s="311">
        <f aca="true" t="shared" si="8" ref="K44:K54">E44/D44*100</f>
        <v>232.35000000000002</v>
      </c>
    </row>
    <row r="45" spans="1:11" s="30" customFormat="1" ht="15">
      <c r="A45" s="31" t="s">
        <v>89</v>
      </c>
      <c r="B45" s="255" t="s">
        <v>90</v>
      </c>
      <c r="C45" s="300">
        <v>85000</v>
      </c>
      <c r="D45" s="300">
        <v>85000</v>
      </c>
      <c r="E45" s="300">
        <f t="shared" si="6"/>
        <v>122642</v>
      </c>
      <c r="F45" s="310"/>
      <c r="G45" s="310">
        <v>57812</v>
      </c>
      <c r="H45" s="310">
        <v>64830</v>
      </c>
      <c r="I45" s="310"/>
      <c r="J45" s="311">
        <f t="shared" si="7"/>
        <v>144.28470588235294</v>
      </c>
      <c r="K45" s="311">
        <f t="shared" si="8"/>
        <v>144.28470588235294</v>
      </c>
    </row>
    <row r="46" spans="1:11" s="30" customFormat="1" ht="15">
      <c r="A46" s="31" t="s">
        <v>91</v>
      </c>
      <c r="B46" s="255" t="s">
        <v>92</v>
      </c>
      <c r="C46" s="300">
        <v>170000</v>
      </c>
      <c r="D46" s="300">
        <v>170000</v>
      </c>
      <c r="E46" s="300">
        <f t="shared" si="6"/>
        <v>137472</v>
      </c>
      <c r="F46" s="300">
        <v>63247</v>
      </c>
      <c r="G46" s="300">
        <v>74225</v>
      </c>
      <c r="H46" s="300"/>
      <c r="I46" s="300"/>
      <c r="J46" s="301">
        <f t="shared" si="7"/>
        <v>80.86588235294117</v>
      </c>
      <c r="K46" s="301">
        <f t="shared" si="8"/>
        <v>80.86588235294117</v>
      </c>
    </row>
    <row r="47" spans="1:11" s="30" customFormat="1" ht="15">
      <c r="A47" s="33"/>
      <c r="B47" s="257" t="s">
        <v>93</v>
      </c>
      <c r="C47" s="312">
        <v>80600</v>
      </c>
      <c r="D47" s="312">
        <v>80600</v>
      </c>
      <c r="E47" s="312">
        <f>F47</f>
        <v>63247</v>
      </c>
      <c r="F47" s="313">
        <v>63247</v>
      </c>
      <c r="G47" s="313"/>
      <c r="H47" s="313"/>
      <c r="I47" s="313"/>
      <c r="J47" s="306">
        <f t="shared" si="7"/>
        <v>78.47022332506204</v>
      </c>
      <c r="K47" s="306">
        <f t="shared" si="8"/>
        <v>78.47022332506204</v>
      </c>
    </row>
    <row r="48" spans="1:11" s="36" customFormat="1" ht="15">
      <c r="A48" s="33"/>
      <c r="B48" s="257" t="s">
        <v>94</v>
      </c>
      <c r="C48" s="312">
        <f>C46-C47</f>
        <v>89400</v>
      </c>
      <c r="D48" s="312">
        <f>D46-D47</f>
        <v>89400</v>
      </c>
      <c r="E48" s="312">
        <f t="shared" si="6"/>
        <v>74225</v>
      </c>
      <c r="F48" s="313"/>
      <c r="G48" s="313">
        <f>G46</f>
        <v>74225</v>
      </c>
      <c r="H48" s="313"/>
      <c r="I48" s="313"/>
      <c r="J48" s="306">
        <f t="shared" si="7"/>
        <v>83.02572706935123</v>
      </c>
      <c r="K48" s="306">
        <f t="shared" si="8"/>
        <v>83.02572706935123</v>
      </c>
    </row>
    <row r="49" spans="1:11" s="36" customFormat="1" ht="15">
      <c r="A49" s="31" t="s">
        <v>95</v>
      </c>
      <c r="B49" s="254" t="s">
        <v>96</v>
      </c>
      <c r="C49" s="300">
        <v>345000</v>
      </c>
      <c r="D49" s="300">
        <v>445000</v>
      </c>
      <c r="E49" s="300">
        <f t="shared" si="6"/>
        <v>379057</v>
      </c>
      <c r="F49" s="300">
        <v>15908</v>
      </c>
      <c r="G49" s="300">
        <v>329696</v>
      </c>
      <c r="H49" s="300">
        <v>23887</v>
      </c>
      <c r="I49" s="300">
        <v>9566</v>
      </c>
      <c r="J49" s="311">
        <f t="shared" si="7"/>
        <v>109.87159420289856</v>
      </c>
      <c r="K49" s="311">
        <f t="shared" si="8"/>
        <v>85.18134831460674</v>
      </c>
    </row>
    <row r="50" spans="1:12" s="30" customFormat="1" ht="15">
      <c r="A50" s="33"/>
      <c r="B50" s="257" t="s">
        <v>97</v>
      </c>
      <c r="C50" s="312">
        <v>40000</v>
      </c>
      <c r="D50" s="312">
        <v>40000</v>
      </c>
      <c r="E50" s="312">
        <f>F50+G50+H50+I50</f>
        <v>26184</v>
      </c>
      <c r="F50" s="313">
        <v>15908</v>
      </c>
      <c r="G50" s="313">
        <v>10269</v>
      </c>
      <c r="H50" s="313">
        <v>7</v>
      </c>
      <c r="I50" s="313"/>
      <c r="J50" s="306">
        <f t="shared" si="7"/>
        <v>65.46</v>
      </c>
      <c r="K50" s="306">
        <f t="shared" si="8"/>
        <v>65.46</v>
      </c>
      <c r="L50" s="29"/>
    </row>
    <row r="51" spans="1:11" s="36" customFormat="1" ht="15">
      <c r="A51" s="33"/>
      <c r="B51" s="259" t="s">
        <v>98</v>
      </c>
      <c r="C51" s="312">
        <f>C49-C50</f>
        <v>305000</v>
      </c>
      <c r="D51" s="312">
        <f>D49-D50</f>
        <v>405000</v>
      </c>
      <c r="E51" s="312">
        <f>F51+G51+H51+I51</f>
        <v>352873</v>
      </c>
      <c r="F51" s="312"/>
      <c r="G51" s="312">
        <v>319427</v>
      </c>
      <c r="H51" s="312">
        <v>23880</v>
      </c>
      <c r="I51" s="312">
        <v>9566</v>
      </c>
      <c r="J51" s="314">
        <f t="shared" si="7"/>
        <v>115.6960655737705</v>
      </c>
      <c r="K51" s="314">
        <f t="shared" si="8"/>
        <v>87.12913580246914</v>
      </c>
    </row>
    <row r="52" spans="1:11" s="36" customFormat="1" ht="15" customHeight="1">
      <c r="A52" s="33"/>
      <c r="B52" s="257" t="s">
        <v>99</v>
      </c>
      <c r="C52" s="312">
        <v>30000</v>
      </c>
      <c r="D52" s="312">
        <v>30000</v>
      </c>
      <c r="E52" s="312">
        <f>F52+G52+H52+I52</f>
        <v>32942</v>
      </c>
      <c r="F52" s="313"/>
      <c r="G52" s="313">
        <v>15668</v>
      </c>
      <c r="H52" s="313">
        <v>17234</v>
      </c>
      <c r="I52" s="313">
        <v>40</v>
      </c>
      <c r="J52" s="306">
        <f t="shared" si="7"/>
        <v>109.80666666666667</v>
      </c>
      <c r="K52" s="306">
        <f t="shared" si="8"/>
        <v>109.80666666666667</v>
      </c>
    </row>
    <row r="53" spans="1:11" s="36" customFormat="1" ht="30.75">
      <c r="A53" s="33"/>
      <c r="B53" s="257" t="s">
        <v>100</v>
      </c>
      <c r="C53" s="312">
        <v>250000</v>
      </c>
      <c r="D53" s="312">
        <v>350000</v>
      </c>
      <c r="E53" s="312">
        <f>F53+G53+H53+I53</f>
        <v>303048</v>
      </c>
      <c r="F53" s="313"/>
      <c r="G53" s="313">
        <v>303048</v>
      </c>
      <c r="H53" s="313"/>
      <c r="I53" s="313"/>
      <c r="J53" s="306"/>
      <c r="K53" s="306">
        <f t="shared" si="8"/>
        <v>86.58514285714286</v>
      </c>
    </row>
    <row r="54" spans="1:12" s="36" customFormat="1" ht="15">
      <c r="A54" s="31" t="s">
        <v>101</v>
      </c>
      <c r="B54" s="254" t="s">
        <v>43</v>
      </c>
      <c r="C54" s="300">
        <v>536000</v>
      </c>
      <c r="D54" s="300">
        <v>536000</v>
      </c>
      <c r="E54" s="300">
        <f>E56</f>
        <v>948259</v>
      </c>
      <c r="F54" s="300"/>
      <c r="G54" s="300">
        <v>488981</v>
      </c>
      <c r="H54" s="300">
        <v>459278</v>
      </c>
      <c r="I54" s="300"/>
      <c r="J54" s="311">
        <f>E54/C54*100</f>
        <v>176.91399253731345</v>
      </c>
      <c r="K54" s="311">
        <f t="shared" si="8"/>
        <v>176.91399253731345</v>
      </c>
      <c r="L54" s="29"/>
    </row>
    <row r="55" spans="1:12" s="30" customFormat="1" ht="30.75">
      <c r="A55" s="33"/>
      <c r="B55" s="257" t="s">
        <v>102</v>
      </c>
      <c r="C55" s="312"/>
      <c r="D55" s="312"/>
      <c r="E55" s="312"/>
      <c r="F55" s="313"/>
      <c r="G55" s="313"/>
      <c r="H55" s="313"/>
      <c r="I55" s="313"/>
      <c r="J55" s="306"/>
      <c r="K55" s="306"/>
      <c r="L55" s="202"/>
    </row>
    <row r="56" spans="1:11" s="36" customFormat="1" ht="30.75">
      <c r="A56" s="33"/>
      <c r="B56" s="257" t="s">
        <v>103</v>
      </c>
      <c r="C56" s="312">
        <f>C54</f>
        <v>536000</v>
      </c>
      <c r="D56" s="312">
        <f>D54</f>
        <v>536000</v>
      </c>
      <c r="E56" s="312">
        <f>F56+G56+H56+I56</f>
        <v>948259</v>
      </c>
      <c r="F56" s="313"/>
      <c r="G56" s="313">
        <v>488981</v>
      </c>
      <c r="H56" s="313">
        <f>H54</f>
        <v>459278</v>
      </c>
      <c r="I56" s="313"/>
      <c r="J56" s="306">
        <f>E56/C56*100</f>
        <v>176.91399253731345</v>
      </c>
      <c r="K56" s="306">
        <f>E56/D56*100</f>
        <v>176.91399253731345</v>
      </c>
    </row>
    <row r="57" spans="1:11" s="36" customFormat="1" ht="15">
      <c r="A57" s="31" t="s">
        <v>104</v>
      </c>
      <c r="B57" s="254" t="s">
        <v>105</v>
      </c>
      <c r="C57" s="300">
        <v>35000</v>
      </c>
      <c r="D57" s="300">
        <v>35000</v>
      </c>
      <c r="E57" s="300">
        <f>F57+G57+H57+I57</f>
        <v>99482</v>
      </c>
      <c r="F57" s="310"/>
      <c r="G57" s="310">
        <v>20168</v>
      </c>
      <c r="H57" s="310">
        <v>79314</v>
      </c>
      <c r="I57" s="310"/>
      <c r="J57" s="311">
        <f>E57/C57*100</f>
        <v>284.2342857142857</v>
      </c>
      <c r="K57" s="311">
        <f>E57/D57*100</f>
        <v>284.2342857142857</v>
      </c>
    </row>
    <row r="58" spans="1:11" s="30" customFormat="1" ht="15">
      <c r="A58" s="31" t="s">
        <v>106</v>
      </c>
      <c r="B58" s="255" t="s">
        <v>107</v>
      </c>
      <c r="C58" s="300"/>
      <c r="D58" s="300"/>
      <c r="E58" s="300"/>
      <c r="F58" s="310"/>
      <c r="G58" s="310"/>
      <c r="H58" s="310"/>
      <c r="I58" s="310"/>
      <c r="J58" s="311"/>
      <c r="K58" s="311"/>
    </row>
    <row r="59" spans="1:11" s="30" customFormat="1" ht="15">
      <c r="A59" s="33"/>
      <c r="B59" s="259" t="s">
        <v>108</v>
      </c>
      <c r="C59" s="312"/>
      <c r="D59" s="312"/>
      <c r="E59" s="312"/>
      <c r="F59" s="312"/>
      <c r="G59" s="312"/>
      <c r="H59" s="312"/>
      <c r="I59" s="312"/>
      <c r="J59" s="314"/>
      <c r="K59" s="314"/>
    </row>
    <row r="60" spans="1:11" s="36" customFormat="1" ht="15">
      <c r="A60" s="33"/>
      <c r="B60" s="257" t="s">
        <v>109</v>
      </c>
      <c r="C60" s="312"/>
      <c r="D60" s="312"/>
      <c r="E60" s="312"/>
      <c r="F60" s="313"/>
      <c r="G60" s="313"/>
      <c r="H60" s="313"/>
      <c r="I60" s="313"/>
      <c r="J60" s="314"/>
      <c r="K60" s="314"/>
    </row>
    <row r="61" spans="1:11" s="36" customFormat="1" ht="15">
      <c r="A61" s="31" t="s">
        <v>110</v>
      </c>
      <c r="B61" s="254" t="s">
        <v>111</v>
      </c>
      <c r="C61" s="300"/>
      <c r="D61" s="300"/>
      <c r="E61" s="300"/>
      <c r="F61" s="300"/>
      <c r="G61" s="300"/>
      <c r="H61" s="300"/>
      <c r="I61" s="300"/>
      <c r="J61" s="301"/>
      <c r="K61" s="301"/>
    </row>
    <row r="62" spans="1:11" s="30" customFormat="1" ht="15">
      <c r="A62" s="32"/>
      <c r="B62" s="256" t="s">
        <v>112</v>
      </c>
      <c r="C62" s="307"/>
      <c r="D62" s="307"/>
      <c r="E62" s="307"/>
      <c r="F62" s="308"/>
      <c r="G62" s="308"/>
      <c r="H62" s="308"/>
      <c r="I62" s="308"/>
      <c r="J62" s="301"/>
      <c r="K62" s="301"/>
    </row>
    <row r="63" spans="1:11" ht="15">
      <c r="A63" s="32"/>
      <c r="B63" s="256" t="s">
        <v>113</v>
      </c>
      <c r="C63" s="307"/>
      <c r="D63" s="307"/>
      <c r="E63" s="307"/>
      <c r="F63" s="308"/>
      <c r="G63" s="308"/>
      <c r="H63" s="308"/>
      <c r="I63" s="308"/>
      <c r="J63" s="301"/>
      <c r="K63" s="301"/>
    </row>
    <row r="64" spans="1:11" ht="15">
      <c r="A64" s="31" t="s">
        <v>114</v>
      </c>
      <c r="B64" s="254" t="s">
        <v>115</v>
      </c>
      <c r="C64" s="300"/>
      <c r="D64" s="300"/>
      <c r="E64" s="300"/>
      <c r="F64" s="300"/>
      <c r="G64" s="300"/>
      <c r="H64" s="300"/>
      <c r="I64" s="300"/>
      <c r="J64" s="301"/>
      <c r="K64" s="301"/>
    </row>
    <row r="65" spans="1:11" s="30" customFormat="1" ht="15.75">
      <c r="A65" s="33"/>
      <c r="B65" s="257" t="s">
        <v>116</v>
      </c>
      <c r="C65" s="312"/>
      <c r="D65" s="312"/>
      <c r="E65" s="312"/>
      <c r="F65" s="313"/>
      <c r="G65" s="313"/>
      <c r="H65" s="313"/>
      <c r="I65" s="313"/>
      <c r="J65" s="315"/>
      <c r="K65" s="315"/>
    </row>
    <row r="66" spans="1:11" s="36" customFormat="1" ht="15.75">
      <c r="A66" s="33"/>
      <c r="B66" s="257" t="s">
        <v>117</v>
      </c>
      <c r="C66" s="312"/>
      <c r="D66" s="312"/>
      <c r="E66" s="312"/>
      <c r="F66" s="313"/>
      <c r="G66" s="313"/>
      <c r="H66" s="313"/>
      <c r="I66" s="313"/>
      <c r="J66" s="315"/>
      <c r="K66" s="315"/>
    </row>
    <row r="67" spans="1:11" s="36" customFormat="1" ht="15">
      <c r="A67" s="31" t="s">
        <v>118</v>
      </c>
      <c r="B67" s="255" t="s">
        <v>119</v>
      </c>
      <c r="C67" s="300"/>
      <c r="D67" s="300"/>
      <c r="E67" s="300"/>
      <c r="F67" s="300"/>
      <c r="G67" s="300"/>
      <c r="H67" s="300"/>
      <c r="I67" s="300"/>
      <c r="J67" s="301"/>
      <c r="K67" s="301"/>
    </row>
    <row r="68" spans="1:11" s="30" customFormat="1" ht="15">
      <c r="A68" s="37">
        <v>17</v>
      </c>
      <c r="B68" s="254" t="s">
        <v>120</v>
      </c>
      <c r="C68" s="300">
        <v>140000</v>
      </c>
      <c r="D68" s="300">
        <v>140000</v>
      </c>
      <c r="E68" s="300">
        <f aca="true" t="shared" si="9" ref="E68:E76">F68+G68+H68+I68</f>
        <v>299684</v>
      </c>
      <c r="F68" s="310">
        <v>124465</v>
      </c>
      <c r="G68" s="310">
        <v>120418</v>
      </c>
      <c r="H68" s="310">
        <v>50329</v>
      </c>
      <c r="I68" s="310">
        <v>4472</v>
      </c>
      <c r="J68" s="301">
        <f>E68/C68*100</f>
        <v>214.06</v>
      </c>
      <c r="K68" s="301">
        <f>E68/D68*100</f>
        <v>214.06</v>
      </c>
    </row>
    <row r="69" spans="1:11" s="30" customFormat="1" ht="15">
      <c r="A69" s="38"/>
      <c r="B69" s="256" t="s">
        <v>121</v>
      </c>
      <c r="C69" s="307">
        <v>75000</v>
      </c>
      <c r="D69" s="307">
        <v>75000</v>
      </c>
      <c r="E69" s="307">
        <f t="shared" si="9"/>
        <v>124465</v>
      </c>
      <c r="F69" s="308">
        <v>124465</v>
      </c>
      <c r="G69" s="308"/>
      <c r="H69" s="308"/>
      <c r="I69" s="308"/>
      <c r="J69" s="316">
        <f>E69/C69*100</f>
        <v>165.95333333333332</v>
      </c>
      <c r="K69" s="316">
        <f>E69/D69*100</f>
        <v>165.95333333333332</v>
      </c>
    </row>
    <row r="70" spans="1:11" ht="15">
      <c r="A70" s="39"/>
      <c r="B70" s="257" t="s">
        <v>122</v>
      </c>
      <c r="C70" s="312">
        <v>52000</v>
      </c>
      <c r="D70" s="312">
        <v>52000</v>
      </c>
      <c r="E70" s="312">
        <f t="shared" si="9"/>
        <v>57450</v>
      </c>
      <c r="F70" s="313">
        <v>56211</v>
      </c>
      <c r="G70" s="313">
        <v>784</v>
      </c>
      <c r="H70" s="313">
        <v>455</v>
      </c>
      <c r="I70" s="313"/>
      <c r="J70" s="314"/>
      <c r="K70" s="314"/>
    </row>
    <row r="71" spans="1:11" s="36" customFormat="1" ht="15">
      <c r="A71" s="37">
        <v>18</v>
      </c>
      <c r="B71" s="254" t="s">
        <v>123</v>
      </c>
      <c r="C71" s="300">
        <v>35000</v>
      </c>
      <c r="D71" s="300">
        <v>35000</v>
      </c>
      <c r="E71" s="300">
        <f t="shared" si="9"/>
        <v>51676</v>
      </c>
      <c r="F71" s="300">
        <f>F72+F73</f>
        <v>13790</v>
      </c>
      <c r="G71" s="300">
        <f>G72+G73</f>
        <v>37886</v>
      </c>
      <c r="H71" s="300"/>
      <c r="I71" s="300"/>
      <c r="J71" s="301">
        <f>E71/C71*100</f>
        <v>147.6457142857143</v>
      </c>
      <c r="K71" s="301">
        <f>E71/D71*100</f>
        <v>147.6457142857143</v>
      </c>
    </row>
    <row r="72" spans="1:11" s="30" customFormat="1" ht="15">
      <c r="A72" s="39"/>
      <c r="B72" s="257" t="s">
        <v>124</v>
      </c>
      <c r="C72" s="312">
        <v>15000</v>
      </c>
      <c r="D72" s="312">
        <v>15000</v>
      </c>
      <c r="E72" s="312">
        <f t="shared" si="9"/>
        <v>19700</v>
      </c>
      <c r="F72" s="313">
        <v>13790</v>
      </c>
      <c r="G72" s="313">
        <v>5910</v>
      </c>
      <c r="H72" s="313"/>
      <c r="I72" s="313"/>
      <c r="J72" s="314">
        <f>E72/C72*100</f>
        <v>131.33333333333331</v>
      </c>
      <c r="K72" s="314">
        <f>E72/D72*100</f>
        <v>131.33333333333331</v>
      </c>
    </row>
    <row r="73" spans="1:14" s="36" customFormat="1" ht="15">
      <c r="A73" s="39"/>
      <c r="B73" s="257" t="s">
        <v>125</v>
      </c>
      <c r="C73" s="312">
        <f>C71-C72</f>
        <v>20000</v>
      </c>
      <c r="D73" s="312">
        <f>D71-D72</f>
        <v>20000</v>
      </c>
      <c r="E73" s="312">
        <f t="shared" si="9"/>
        <v>31976</v>
      </c>
      <c r="F73" s="313"/>
      <c r="G73" s="313">
        <v>31976</v>
      </c>
      <c r="H73" s="313"/>
      <c r="I73" s="313"/>
      <c r="J73" s="314">
        <f>E73/C73*100</f>
        <v>159.88</v>
      </c>
      <c r="K73" s="314">
        <f>E73/D73*100</f>
        <v>159.88</v>
      </c>
      <c r="M73" s="203">
        <f>C11-C55-C77</f>
        <v>2250000</v>
      </c>
      <c r="N73" s="203">
        <f>D11-D55-D77</f>
        <v>2350000</v>
      </c>
    </row>
    <row r="74" spans="1:14" s="36" customFormat="1" ht="15">
      <c r="A74" s="37">
        <v>19</v>
      </c>
      <c r="B74" s="254" t="s">
        <v>126</v>
      </c>
      <c r="C74" s="300"/>
      <c r="D74" s="300"/>
      <c r="E74" s="300">
        <f t="shared" si="9"/>
        <v>26</v>
      </c>
      <c r="F74" s="310"/>
      <c r="G74" s="310"/>
      <c r="H74" s="310"/>
      <c r="I74" s="310">
        <v>26</v>
      </c>
      <c r="J74" s="301"/>
      <c r="K74" s="301"/>
      <c r="M74" s="36">
        <f>2135232/M73*100</f>
        <v>94.8992</v>
      </c>
      <c r="N74" s="36">
        <f>2135232/N73*100</f>
        <v>90.86093617021277</v>
      </c>
    </row>
    <row r="75" spans="1:11" s="30" customFormat="1" ht="15">
      <c r="A75" s="37">
        <v>20</v>
      </c>
      <c r="B75" s="254" t="s">
        <v>390</v>
      </c>
      <c r="C75" s="300">
        <v>1000</v>
      </c>
      <c r="D75" s="300">
        <v>1000</v>
      </c>
      <c r="E75" s="300">
        <f t="shared" si="9"/>
        <v>2864</v>
      </c>
      <c r="F75" s="310"/>
      <c r="G75" s="310">
        <v>2864</v>
      </c>
      <c r="H75" s="310"/>
      <c r="I75" s="310"/>
      <c r="J75" s="301"/>
      <c r="K75" s="301"/>
    </row>
    <row r="76" spans="1:11" s="30" customFormat="1" ht="15">
      <c r="A76" s="37">
        <v>21</v>
      </c>
      <c r="B76" s="254" t="s">
        <v>127</v>
      </c>
      <c r="C76" s="300">
        <v>13000</v>
      </c>
      <c r="D76" s="300">
        <v>13000</v>
      </c>
      <c r="E76" s="300">
        <f t="shared" si="9"/>
        <v>15298</v>
      </c>
      <c r="F76" s="310"/>
      <c r="G76" s="310">
        <v>15298</v>
      </c>
      <c r="H76" s="310"/>
      <c r="I76" s="310"/>
      <c r="J76" s="301">
        <f>E76/C76*100</f>
        <v>117.67692307692307</v>
      </c>
      <c r="K76" s="301">
        <f>E76/D76*100</f>
        <v>117.67692307692307</v>
      </c>
    </row>
    <row r="77" spans="1:11" s="30" customFormat="1" ht="15">
      <c r="A77" s="37" t="s">
        <v>128</v>
      </c>
      <c r="B77" s="254" t="s">
        <v>129</v>
      </c>
      <c r="C77" s="300"/>
      <c r="D77" s="300"/>
      <c r="E77" s="300"/>
      <c r="F77" s="310"/>
      <c r="G77" s="310"/>
      <c r="H77" s="310"/>
      <c r="I77" s="310"/>
      <c r="J77" s="301"/>
      <c r="K77" s="301"/>
    </row>
    <row r="78" spans="1:11" s="30" customFormat="1" ht="15">
      <c r="A78" s="37" t="s">
        <v>130</v>
      </c>
      <c r="B78" s="254" t="s">
        <v>131</v>
      </c>
      <c r="C78" s="300">
        <f>SUM(C79:C87)</f>
        <v>5500000</v>
      </c>
      <c r="D78" s="300">
        <f>SUM(D79:D87)</f>
        <v>5500000</v>
      </c>
      <c r="E78" s="300">
        <f aca="true" t="shared" si="10" ref="E78:E83">F78+G78+H78+I78</f>
        <v>4355454</v>
      </c>
      <c r="F78" s="300">
        <f>SUM(F79:F87)</f>
        <v>4355142</v>
      </c>
      <c r="G78" s="300">
        <f>SUM(G79:G87)</f>
        <v>312</v>
      </c>
      <c r="H78" s="300">
        <f>SUM(H79:H87)</f>
        <v>0</v>
      </c>
      <c r="I78" s="300">
        <f>SUM(I79:I87)</f>
        <v>0</v>
      </c>
      <c r="J78" s="301">
        <f>E78/C78*100</f>
        <v>79.19007272727274</v>
      </c>
      <c r="K78" s="301">
        <f>E78/D78*100</f>
        <v>79.19007272727274</v>
      </c>
    </row>
    <row r="79" spans="1:11" s="30" customFormat="1" ht="15">
      <c r="A79" s="38">
        <v>1</v>
      </c>
      <c r="B79" s="256" t="s">
        <v>132</v>
      </c>
      <c r="C79" s="307">
        <v>60000</v>
      </c>
      <c r="D79" s="307">
        <v>60000</v>
      </c>
      <c r="E79" s="307">
        <f t="shared" si="10"/>
        <v>102583</v>
      </c>
      <c r="F79" s="308">
        <v>102583</v>
      </c>
      <c r="G79" s="308"/>
      <c r="H79" s="308"/>
      <c r="I79" s="308"/>
      <c r="J79" s="316">
        <f>E79/C79*100</f>
        <v>170.97166666666666</v>
      </c>
      <c r="K79" s="316">
        <f>E79/D79*100</f>
        <v>170.97166666666666</v>
      </c>
    </row>
    <row r="80" spans="1:11" ht="15">
      <c r="A80" s="38">
        <v>2</v>
      </c>
      <c r="B80" s="256" t="s">
        <v>133</v>
      </c>
      <c r="C80" s="307">
        <v>1450000</v>
      </c>
      <c r="D80" s="307">
        <v>1450000</v>
      </c>
      <c r="E80" s="307">
        <f t="shared" si="10"/>
        <v>829037</v>
      </c>
      <c r="F80" s="308">
        <v>829037</v>
      </c>
      <c r="G80" s="308"/>
      <c r="H80" s="308"/>
      <c r="I80" s="308"/>
      <c r="J80" s="316">
        <f>E80/C80*100</f>
        <v>57.17496551724138</v>
      </c>
      <c r="K80" s="316">
        <f>E80/D80*100</f>
        <v>57.17496551724138</v>
      </c>
    </row>
    <row r="81" spans="1:11" ht="15">
      <c r="A81" s="40">
        <v>3</v>
      </c>
      <c r="B81" s="256" t="s">
        <v>134</v>
      </c>
      <c r="C81" s="307">
        <v>5000</v>
      </c>
      <c r="D81" s="307">
        <v>5000</v>
      </c>
      <c r="E81" s="307">
        <f t="shared" si="10"/>
        <v>13319</v>
      </c>
      <c r="F81" s="308">
        <v>13319</v>
      </c>
      <c r="G81" s="308"/>
      <c r="H81" s="308"/>
      <c r="I81" s="308"/>
      <c r="J81" s="316">
        <f>E81/C81*100</f>
        <v>266.38</v>
      </c>
      <c r="K81" s="316">
        <f>E81/D81*100</f>
        <v>266.38</v>
      </c>
    </row>
    <row r="82" spans="1:11" ht="15">
      <c r="A82" s="40" t="s">
        <v>82</v>
      </c>
      <c r="B82" s="260" t="s">
        <v>135</v>
      </c>
      <c r="C82" s="307">
        <v>3976300</v>
      </c>
      <c r="D82" s="307">
        <v>3976300</v>
      </c>
      <c r="E82" s="307">
        <f t="shared" si="10"/>
        <v>3354198</v>
      </c>
      <c r="F82" s="307">
        <v>3354198</v>
      </c>
      <c r="G82" s="307"/>
      <c r="H82" s="307"/>
      <c r="I82" s="307"/>
      <c r="J82" s="316">
        <f>E82/C82*100</f>
        <v>84.35475190503735</v>
      </c>
      <c r="K82" s="316">
        <f>E82/D82*100</f>
        <v>84.35475190503735</v>
      </c>
    </row>
    <row r="83" spans="1:11" ht="15">
      <c r="A83" s="32" t="s">
        <v>84</v>
      </c>
      <c r="B83" s="260" t="s">
        <v>136</v>
      </c>
      <c r="C83" s="307"/>
      <c r="D83" s="307"/>
      <c r="E83" s="307">
        <f t="shared" si="10"/>
        <v>43487</v>
      </c>
      <c r="F83" s="308">
        <v>43487</v>
      </c>
      <c r="G83" s="308"/>
      <c r="H83" s="308"/>
      <c r="I83" s="308"/>
      <c r="J83" s="304"/>
      <c r="K83" s="316"/>
    </row>
    <row r="84" spans="1:11" ht="15">
      <c r="A84" s="32" t="s">
        <v>137</v>
      </c>
      <c r="B84" s="260" t="s">
        <v>138</v>
      </c>
      <c r="C84" s="307"/>
      <c r="D84" s="307"/>
      <c r="E84" s="307"/>
      <c r="F84" s="308"/>
      <c r="G84" s="308"/>
      <c r="H84" s="308"/>
      <c r="I84" s="308"/>
      <c r="J84" s="304"/>
      <c r="K84" s="316"/>
    </row>
    <row r="85" spans="1:11" ht="15">
      <c r="A85" s="32" t="s">
        <v>87</v>
      </c>
      <c r="B85" s="260" t="s">
        <v>139</v>
      </c>
      <c r="C85" s="307">
        <v>200</v>
      </c>
      <c r="D85" s="307">
        <v>200</v>
      </c>
      <c r="E85" s="307">
        <f>F85+G85+H85+I85</f>
        <v>107</v>
      </c>
      <c r="F85" s="308">
        <v>107</v>
      </c>
      <c r="G85" s="308"/>
      <c r="H85" s="308"/>
      <c r="I85" s="308"/>
      <c r="J85" s="304">
        <f>E85/C85*100</f>
        <v>53.5</v>
      </c>
      <c r="K85" s="316">
        <f>E85/D85*100</f>
        <v>53.5</v>
      </c>
    </row>
    <row r="86" spans="1:11" ht="15">
      <c r="A86" s="32" t="s">
        <v>89</v>
      </c>
      <c r="B86" s="260" t="s">
        <v>140</v>
      </c>
      <c r="C86" s="307">
        <v>8500</v>
      </c>
      <c r="D86" s="307">
        <v>8500</v>
      </c>
      <c r="E86" s="307"/>
      <c r="F86" s="308"/>
      <c r="G86" s="308"/>
      <c r="H86" s="308"/>
      <c r="I86" s="308"/>
      <c r="J86" s="304"/>
      <c r="K86" s="316"/>
    </row>
    <row r="87" spans="1:11" ht="15">
      <c r="A87" s="38">
        <v>9</v>
      </c>
      <c r="B87" s="260" t="s">
        <v>141</v>
      </c>
      <c r="C87" s="307"/>
      <c r="D87" s="307"/>
      <c r="E87" s="307">
        <f aca="true" t="shared" si="11" ref="E87:E92">F87+G87+H87+I87</f>
        <v>12723</v>
      </c>
      <c r="F87" s="307">
        <v>12411</v>
      </c>
      <c r="G87" s="307">
        <v>312</v>
      </c>
      <c r="H87" s="307"/>
      <c r="I87" s="307"/>
      <c r="J87" s="316"/>
      <c r="K87" s="316"/>
    </row>
    <row r="88" spans="1:11" ht="15">
      <c r="A88" s="37" t="s">
        <v>142</v>
      </c>
      <c r="B88" s="254" t="s">
        <v>28</v>
      </c>
      <c r="C88" s="300"/>
      <c r="D88" s="300"/>
      <c r="E88" s="300">
        <f t="shared" si="11"/>
        <v>3854</v>
      </c>
      <c r="F88" s="300"/>
      <c r="G88" s="300">
        <v>3304</v>
      </c>
      <c r="H88" s="300">
        <v>550</v>
      </c>
      <c r="I88" s="300"/>
      <c r="J88" s="311"/>
      <c r="K88" s="311"/>
    </row>
    <row r="89" spans="1:11" s="30" customFormat="1" ht="14.25" customHeight="1">
      <c r="A89" s="37" t="s">
        <v>143</v>
      </c>
      <c r="B89" s="254" t="s">
        <v>144</v>
      </c>
      <c r="C89" s="300"/>
      <c r="D89" s="300"/>
      <c r="E89" s="300">
        <f t="shared" si="11"/>
        <v>4851</v>
      </c>
      <c r="F89" s="300"/>
      <c r="G89" s="300">
        <f>G90+G91</f>
        <v>2900</v>
      </c>
      <c r="H89" s="300">
        <f>H90+H91</f>
        <v>1951</v>
      </c>
      <c r="I89" s="300">
        <f>I90+I91</f>
        <v>0</v>
      </c>
      <c r="J89" s="311"/>
      <c r="K89" s="311"/>
    </row>
    <row r="90" spans="1:11" s="30" customFormat="1" ht="14.25" customHeight="1">
      <c r="A90" s="38">
        <v>1</v>
      </c>
      <c r="B90" s="256" t="s">
        <v>145</v>
      </c>
      <c r="C90" s="307"/>
      <c r="D90" s="307"/>
      <c r="E90" s="307">
        <f t="shared" si="11"/>
        <v>4851</v>
      </c>
      <c r="F90" s="307"/>
      <c r="G90" s="307">
        <v>2900</v>
      </c>
      <c r="H90" s="307">
        <v>1951</v>
      </c>
      <c r="I90" s="307"/>
      <c r="J90" s="304"/>
      <c r="K90" s="304"/>
    </row>
    <row r="91" spans="1:11" ht="15">
      <c r="A91" s="38">
        <v>2</v>
      </c>
      <c r="B91" s="256" t="s">
        <v>146</v>
      </c>
      <c r="C91" s="307"/>
      <c r="D91" s="307"/>
      <c r="E91" s="307">
        <f t="shared" si="11"/>
        <v>0</v>
      </c>
      <c r="F91" s="307"/>
      <c r="G91" s="307"/>
      <c r="H91" s="307"/>
      <c r="I91" s="307"/>
      <c r="J91" s="304"/>
      <c r="K91" s="304"/>
    </row>
    <row r="92" spans="1:11" ht="15">
      <c r="A92" s="37" t="s">
        <v>147</v>
      </c>
      <c r="B92" s="254" t="s">
        <v>148</v>
      </c>
      <c r="C92" s="300"/>
      <c r="D92" s="300"/>
      <c r="E92" s="300">
        <f t="shared" si="11"/>
        <v>0</v>
      </c>
      <c r="F92" s="310"/>
      <c r="G92" s="310">
        <f>G93+G94+G97</f>
        <v>0</v>
      </c>
      <c r="H92" s="310"/>
      <c r="I92" s="310"/>
      <c r="J92" s="301"/>
      <c r="K92" s="311"/>
    </row>
    <row r="93" spans="1:11" s="30" customFormat="1" ht="15">
      <c r="A93" s="37">
        <v>1</v>
      </c>
      <c r="B93" s="254" t="s">
        <v>391</v>
      </c>
      <c r="C93" s="300"/>
      <c r="D93" s="300"/>
      <c r="E93" s="300"/>
      <c r="F93" s="310"/>
      <c r="G93" s="310"/>
      <c r="H93" s="310"/>
      <c r="I93" s="310"/>
      <c r="J93" s="301"/>
      <c r="K93" s="311"/>
    </row>
    <row r="94" spans="1:11" s="30" customFormat="1" ht="15">
      <c r="A94" s="37">
        <v>2</v>
      </c>
      <c r="B94" s="255" t="s">
        <v>149</v>
      </c>
      <c r="C94" s="300"/>
      <c r="D94" s="300"/>
      <c r="E94" s="300"/>
      <c r="F94" s="310"/>
      <c r="G94" s="310"/>
      <c r="H94" s="310"/>
      <c r="I94" s="310"/>
      <c r="J94" s="311"/>
      <c r="K94" s="311"/>
    </row>
    <row r="95" spans="1:11" s="30" customFormat="1" ht="15">
      <c r="A95" s="38" t="s">
        <v>150</v>
      </c>
      <c r="B95" s="260" t="s">
        <v>151</v>
      </c>
      <c r="C95" s="307"/>
      <c r="D95" s="307"/>
      <c r="E95" s="307"/>
      <c r="F95" s="308"/>
      <c r="G95" s="308"/>
      <c r="H95" s="308"/>
      <c r="I95" s="308"/>
      <c r="J95" s="304"/>
      <c r="K95" s="304"/>
    </row>
    <row r="96" spans="1:11" ht="15">
      <c r="A96" s="38" t="s">
        <v>152</v>
      </c>
      <c r="B96" s="260" t="s">
        <v>153</v>
      </c>
      <c r="C96" s="307"/>
      <c r="D96" s="307"/>
      <c r="E96" s="307"/>
      <c r="F96" s="308"/>
      <c r="G96" s="308"/>
      <c r="H96" s="308"/>
      <c r="I96" s="308"/>
      <c r="J96" s="304"/>
      <c r="K96" s="304"/>
    </row>
    <row r="97" spans="1:11" ht="15">
      <c r="A97" s="37">
        <v>3</v>
      </c>
      <c r="B97" s="255" t="s">
        <v>22</v>
      </c>
      <c r="C97" s="300"/>
      <c r="D97" s="300"/>
      <c r="E97" s="300">
        <f>F97+G97+H97+I97</f>
        <v>0</v>
      </c>
      <c r="F97" s="310"/>
      <c r="G97" s="310"/>
      <c r="H97" s="310"/>
      <c r="I97" s="310"/>
      <c r="J97" s="304"/>
      <c r="K97" s="304"/>
    </row>
    <row r="98" spans="1:11" ht="15">
      <c r="A98" s="37" t="s">
        <v>38</v>
      </c>
      <c r="B98" s="255" t="s">
        <v>154</v>
      </c>
      <c r="C98" s="300">
        <f>C99+C102</f>
        <v>26000</v>
      </c>
      <c r="D98" s="300">
        <f>C98</f>
        <v>26000</v>
      </c>
      <c r="E98" s="300">
        <f>E99</f>
        <v>19081</v>
      </c>
      <c r="F98" s="310"/>
      <c r="G98" s="310">
        <f>G99</f>
        <v>19081</v>
      </c>
      <c r="H98" s="310"/>
      <c r="I98" s="310"/>
      <c r="J98" s="311"/>
      <c r="K98" s="311"/>
    </row>
    <row r="99" spans="1:11" s="30" customFormat="1" ht="15">
      <c r="A99" s="37" t="s">
        <v>64</v>
      </c>
      <c r="B99" s="261" t="s">
        <v>155</v>
      </c>
      <c r="C99" s="300">
        <f>35700-14000</f>
        <v>21700</v>
      </c>
      <c r="D99" s="300">
        <f>C99</f>
        <v>21700</v>
      </c>
      <c r="E99" s="300">
        <f>E101</f>
        <v>19081</v>
      </c>
      <c r="F99" s="300"/>
      <c r="G99" s="300">
        <f>G101</f>
        <v>19081</v>
      </c>
      <c r="H99" s="300"/>
      <c r="I99" s="300"/>
      <c r="J99" s="311"/>
      <c r="K99" s="311"/>
    </row>
    <row r="100" spans="1:11" s="30" customFormat="1" ht="15">
      <c r="A100" s="38">
        <v>1</v>
      </c>
      <c r="B100" s="262" t="s">
        <v>156</v>
      </c>
      <c r="C100" s="307"/>
      <c r="D100" s="307"/>
      <c r="E100" s="307"/>
      <c r="F100" s="308"/>
      <c r="G100" s="309"/>
      <c r="H100" s="308"/>
      <c r="I100" s="308"/>
      <c r="J100" s="304"/>
      <c r="K100" s="304"/>
    </row>
    <row r="101" spans="1:11" ht="15">
      <c r="A101" s="38">
        <v>2</v>
      </c>
      <c r="B101" s="262" t="s">
        <v>157</v>
      </c>
      <c r="C101" s="307">
        <f>C99</f>
        <v>21700</v>
      </c>
      <c r="D101" s="307">
        <f>D99</f>
        <v>21700</v>
      </c>
      <c r="E101" s="307">
        <f>G101</f>
        <v>19081</v>
      </c>
      <c r="F101" s="308"/>
      <c r="G101" s="308">
        <v>19081</v>
      </c>
      <c r="H101" s="308"/>
      <c r="I101" s="308"/>
      <c r="J101" s="304"/>
      <c r="K101" s="304"/>
    </row>
    <row r="102" spans="1:11" ht="15">
      <c r="A102" s="37" t="s">
        <v>128</v>
      </c>
      <c r="B102" s="263" t="s">
        <v>158</v>
      </c>
      <c r="C102" s="300">
        <f>C104</f>
        <v>4300</v>
      </c>
      <c r="D102" s="300">
        <f>D104</f>
        <v>4300</v>
      </c>
      <c r="E102" s="300"/>
      <c r="F102" s="310"/>
      <c r="G102" s="310"/>
      <c r="H102" s="310"/>
      <c r="I102" s="310"/>
      <c r="J102" s="311"/>
      <c r="K102" s="311"/>
    </row>
    <row r="103" spans="1:11" s="30" customFormat="1" ht="15">
      <c r="A103" s="38">
        <v>1</v>
      </c>
      <c r="B103" s="262" t="s">
        <v>156</v>
      </c>
      <c r="C103" s="312"/>
      <c r="D103" s="312"/>
      <c r="E103" s="307"/>
      <c r="F103" s="308"/>
      <c r="G103" s="308"/>
      <c r="H103" s="308"/>
      <c r="I103" s="308"/>
      <c r="J103" s="304"/>
      <c r="K103" s="304"/>
    </row>
    <row r="104" spans="1:11" ht="15">
      <c r="A104" s="38">
        <v>2</v>
      </c>
      <c r="B104" s="262" t="s">
        <v>157</v>
      </c>
      <c r="C104" s="307">
        <v>4300</v>
      </c>
      <c r="D104" s="307">
        <v>4300</v>
      </c>
      <c r="E104" s="307"/>
      <c r="F104" s="308"/>
      <c r="G104" s="308"/>
      <c r="H104" s="308"/>
      <c r="I104" s="308"/>
      <c r="J104" s="304"/>
      <c r="K104" s="304"/>
    </row>
    <row r="105" spans="1:11" ht="15">
      <c r="A105" s="37" t="s">
        <v>159</v>
      </c>
      <c r="B105" s="263" t="s">
        <v>160</v>
      </c>
      <c r="C105" s="300">
        <f aca="true" t="shared" si="12" ref="C105:I105">C106+C111</f>
        <v>8804593</v>
      </c>
      <c r="D105" s="300">
        <f t="shared" si="12"/>
        <v>8804593</v>
      </c>
      <c r="E105" s="300">
        <f t="shared" si="12"/>
        <v>18331800</v>
      </c>
      <c r="F105" s="300">
        <f t="shared" si="12"/>
        <v>111499</v>
      </c>
      <c r="G105" s="300">
        <f t="shared" si="12"/>
        <v>10023051</v>
      </c>
      <c r="H105" s="300">
        <f t="shared" si="12"/>
        <v>7029078</v>
      </c>
      <c r="I105" s="300">
        <f t="shared" si="12"/>
        <v>1168172</v>
      </c>
      <c r="J105" s="311">
        <f>E105/C105*100</f>
        <v>208.2072391080428</v>
      </c>
      <c r="K105" s="311">
        <f>E105/D105*100</f>
        <v>208.2072391080428</v>
      </c>
    </row>
    <row r="106" spans="1:11" s="30" customFormat="1" ht="15">
      <c r="A106" s="37" t="s">
        <v>64</v>
      </c>
      <c r="B106" s="263" t="s">
        <v>30</v>
      </c>
      <c r="C106" s="300">
        <f aca="true" t="shared" si="13" ref="C106:I106">C107+C108</f>
        <v>8804593</v>
      </c>
      <c r="D106" s="300">
        <f t="shared" si="13"/>
        <v>8804593</v>
      </c>
      <c r="E106" s="300">
        <f t="shared" si="13"/>
        <v>18084890</v>
      </c>
      <c r="F106" s="300"/>
      <c r="G106" s="300">
        <f t="shared" si="13"/>
        <v>9899615</v>
      </c>
      <c r="H106" s="300">
        <f t="shared" si="13"/>
        <v>7017103</v>
      </c>
      <c r="I106" s="300">
        <f t="shared" si="13"/>
        <v>1168172</v>
      </c>
      <c r="J106" s="311">
        <f>E106/C106*100</f>
        <v>205.40290732348447</v>
      </c>
      <c r="K106" s="311">
        <f>E106/D106*100</f>
        <v>205.40290732348447</v>
      </c>
    </row>
    <row r="107" spans="1:11" s="30" customFormat="1" ht="15">
      <c r="A107" s="37">
        <v>1</v>
      </c>
      <c r="B107" s="263" t="s">
        <v>161</v>
      </c>
      <c r="C107" s="300">
        <v>7484019</v>
      </c>
      <c r="D107" s="300">
        <v>7484019</v>
      </c>
      <c r="E107" s="300">
        <f>F107+G107+H107+I107</f>
        <v>13698036</v>
      </c>
      <c r="F107" s="310"/>
      <c r="G107" s="310">
        <v>7484019</v>
      </c>
      <c r="H107" s="310">
        <v>5343717</v>
      </c>
      <c r="I107" s="310">
        <v>870300</v>
      </c>
      <c r="J107" s="311">
        <f>E107/C107*100</f>
        <v>183.03048134965985</v>
      </c>
      <c r="K107" s="311">
        <f>E107/D107*100</f>
        <v>183.03048134965985</v>
      </c>
    </row>
    <row r="108" spans="1:11" s="30" customFormat="1" ht="15">
      <c r="A108" s="37">
        <v>2</v>
      </c>
      <c r="B108" s="263" t="s">
        <v>162</v>
      </c>
      <c r="C108" s="300">
        <f aca="true" t="shared" si="14" ref="C108:I108">C109+C110</f>
        <v>1320574</v>
      </c>
      <c r="D108" s="300">
        <f t="shared" si="14"/>
        <v>1320574</v>
      </c>
      <c r="E108" s="300">
        <f t="shared" si="14"/>
        <v>4386854</v>
      </c>
      <c r="F108" s="300"/>
      <c r="G108" s="300">
        <f t="shared" si="14"/>
        <v>2415596</v>
      </c>
      <c r="H108" s="300">
        <f t="shared" si="14"/>
        <v>1673386</v>
      </c>
      <c r="I108" s="300">
        <f t="shared" si="14"/>
        <v>297872</v>
      </c>
      <c r="J108" s="311">
        <f>E108/C108*100</f>
        <v>332.1929706324674</v>
      </c>
      <c r="K108" s="311">
        <f>E108/D108*100</f>
        <v>332.1929706324674</v>
      </c>
    </row>
    <row r="109" spans="1:11" s="30" customFormat="1" ht="15">
      <c r="A109" s="38" t="s">
        <v>150</v>
      </c>
      <c r="B109" s="262" t="s">
        <v>163</v>
      </c>
      <c r="C109" s="307">
        <f>1320574-C110</f>
        <v>914757</v>
      </c>
      <c r="D109" s="307">
        <f>C109</f>
        <v>914757</v>
      </c>
      <c r="E109" s="307">
        <f>F109+G109+H109+I109</f>
        <v>4184242</v>
      </c>
      <c r="F109" s="308"/>
      <c r="G109" s="308">
        <v>2212984</v>
      </c>
      <c r="H109" s="308">
        <v>1673386</v>
      </c>
      <c r="I109" s="308">
        <v>297872</v>
      </c>
      <c r="J109" s="304">
        <f>E109/C109*100</f>
        <v>457.4156852584895</v>
      </c>
      <c r="K109" s="316">
        <f>E109/D109*100</f>
        <v>457.4156852584895</v>
      </c>
    </row>
    <row r="110" spans="1:11" ht="15">
      <c r="A110" s="38" t="s">
        <v>152</v>
      </c>
      <c r="B110" s="262" t="s">
        <v>164</v>
      </c>
      <c r="C110" s="307">
        <f>D110</f>
        <v>405817</v>
      </c>
      <c r="D110" s="307">
        <f>402147+3670</f>
        <v>405817</v>
      </c>
      <c r="E110" s="307">
        <f>F110+G110+H110+I110</f>
        <v>202612</v>
      </c>
      <c r="F110" s="308"/>
      <c r="G110" s="308">
        <v>202612</v>
      </c>
      <c r="H110" s="308"/>
      <c r="I110" s="308"/>
      <c r="J110" s="304"/>
      <c r="K110" s="316"/>
    </row>
    <row r="111" spans="1:11" ht="15">
      <c r="A111" s="37" t="s">
        <v>128</v>
      </c>
      <c r="B111" s="263" t="s">
        <v>34</v>
      </c>
      <c r="C111" s="300"/>
      <c r="D111" s="300"/>
      <c r="E111" s="300">
        <f>F111+G111+H111+I111</f>
        <v>246910</v>
      </c>
      <c r="F111" s="310">
        <v>111499</v>
      </c>
      <c r="G111" s="310">
        <v>123436</v>
      </c>
      <c r="H111" s="310">
        <v>11975</v>
      </c>
      <c r="I111" s="310"/>
      <c r="J111" s="311"/>
      <c r="K111" s="301"/>
    </row>
    <row r="112" spans="1:11" s="30" customFormat="1" ht="15">
      <c r="A112" s="37" t="s">
        <v>165</v>
      </c>
      <c r="B112" s="263" t="s">
        <v>166</v>
      </c>
      <c r="C112" s="300"/>
      <c r="D112" s="300"/>
      <c r="E112" s="300">
        <f>F112+G112+H112+I112</f>
        <v>1876091</v>
      </c>
      <c r="F112" s="310"/>
      <c r="G112" s="310">
        <v>1346125</v>
      </c>
      <c r="H112" s="310">
        <v>462631</v>
      </c>
      <c r="I112" s="310">
        <v>67335</v>
      </c>
      <c r="J112" s="311"/>
      <c r="K112" s="301"/>
    </row>
    <row r="113" spans="1:11" s="30" customFormat="1" ht="15">
      <c r="A113" s="37" t="s">
        <v>167</v>
      </c>
      <c r="B113" s="263" t="s">
        <v>168</v>
      </c>
      <c r="C113" s="300"/>
      <c r="D113" s="300"/>
      <c r="E113" s="300">
        <f>F113+G113+H113+I113</f>
        <v>90387</v>
      </c>
      <c r="F113" s="310"/>
      <c r="G113" s="310">
        <v>69714</v>
      </c>
      <c r="H113" s="310">
        <v>15561</v>
      </c>
      <c r="I113" s="310">
        <v>5112</v>
      </c>
      <c r="J113" s="311"/>
      <c r="K113" s="301"/>
    </row>
    <row r="114" spans="1:11" ht="15">
      <c r="A114" s="41"/>
      <c r="B114" s="264"/>
      <c r="C114" s="317"/>
      <c r="D114" s="317"/>
      <c r="E114" s="318"/>
      <c r="F114" s="318"/>
      <c r="G114" s="318"/>
      <c r="H114" s="318"/>
      <c r="I114" s="318"/>
      <c r="J114" s="319"/>
      <c r="K114" s="319"/>
    </row>
    <row r="115" spans="1:12" s="36" customFormat="1" ht="33" customHeight="1" hidden="1">
      <c r="A115" s="497" t="s">
        <v>373</v>
      </c>
      <c r="B115" s="497"/>
      <c r="C115" s="497" t="s">
        <v>374</v>
      </c>
      <c r="D115" s="497"/>
      <c r="E115" s="497"/>
      <c r="F115" s="497"/>
      <c r="G115" s="497"/>
      <c r="H115" s="497" t="s">
        <v>375</v>
      </c>
      <c r="I115" s="497"/>
      <c r="J115" s="497"/>
      <c r="K115" s="497"/>
      <c r="L115" s="42"/>
    </row>
    <row r="116" spans="1:12" ht="16.5" customHeight="1" hidden="1">
      <c r="A116" s="484" t="s">
        <v>363</v>
      </c>
      <c r="B116" s="484"/>
      <c r="C116" s="484" t="s">
        <v>337</v>
      </c>
      <c r="D116" s="484"/>
      <c r="E116" s="484"/>
      <c r="F116" s="484"/>
      <c r="G116" s="484"/>
      <c r="H116" s="484" t="s">
        <v>364</v>
      </c>
      <c r="I116" s="484"/>
      <c r="J116" s="484"/>
      <c r="K116" s="484"/>
      <c r="L116" s="43"/>
    </row>
    <row r="117" spans="1:12" ht="16.5" customHeight="1" hidden="1">
      <c r="A117" s="19"/>
      <c r="B117" s="19"/>
      <c r="C117" s="19"/>
      <c r="D117" s="19"/>
      <c r="E117" s="19"/>
      <c r="F117" s="19"/>
      <c r="G117" s="18"/>
      <c r="H117" s="484" t="s">
        <v>495</v>
      </c>
      <c r="I117" s="484"/>
      <c r="J117" s="484"/>
      <c r="K117" s="484"/>
      <c r="L117" s="43"/>
    </row>
    <row r="118" spans="1:12" ht="16.5" customHeight="1" hidden="1">
      <c r="A118" s="19"/>
      <c r="B118" s="19"/>
      <c r="C118" s="19"/>
      <c r="D118" s="19"/>
      <c r="E118" s="19"/>
      <c r="F118" s="19"/>
      <c r="G118" s="18"/>
      <c r="H118" s="484"/>
      <c r="I118" s="484"/>
      <c r="J118" s="484"/>
      <c r="K118" s="484"/>
      <c r="L118" s="43"/>
    </row>
    <row r="119" spans="1:12" ht="15.75" customHeight="1" hidden="1">
      <c r="A119" s="19"/>
      <c r="B119" s="19"/>
      <c r="C119" s="19"/>
      <c r="D119" s="19"/>
      <c r="E119" s="19"/>
      <c r="F119" s="19"/>
      <c r="G119" s="18"/>
      <c r="H119" s="19"/>
      <c r="I119" s="19"/>
      <c r="J119" s="19"/>
      <c r="K119" s="19"/>
      <c r="L119" s="19"/>
    </row>
    <row r="120" spans="1:12" ht="15.75" customHeight="1" hidden="1">
      <c r="A120" s="19"/>
      <c r="B120" s="19"/>
      <c r="C120" s="19"/>
      <c r="D120" s="19"/>
      <c r="E120" s="19"/>
      <c r="F120" s="19"/>
      <c r="G120" s="18"/>
      <c r="H120" s="19"/>
      <c r="I120" s="19"/>
      <c r="J120" s="19"/>
      <c r="K120" s="19"/>
      <c r="L120" s="19"/>
    </row>
    <row r="121" spans="1:12" ht="15.75" customHeight="1" hidden="1">
      <c r="A121" s="19"/>
      <c r="B121" s="19"/>
      <c r="C121" s="19"/>
      <c r="D121" s="19"/>
      <c r="E121" s="19"/>
      <c r="F121" s="19"/>
      <c r="G121" s="18"/>
      <c r="H121" s="19"/>
      <c r="I121" s="19"/>
      <c r="J121" s="19"/>
      <c r="K121" s="19"/>
      <c r="L121" s="19"/>
    </row>
    <row r="122" spans="1:12" ht="15.75" customHeight="1" hidden="1">
      <c r="A122" s="19"/>
      <c r="B122" s="19"/>
      <c r="C122" s="19"/>
      <c r="D122" s="19"/>
      <c r="E122" s="19"/>
      <c r="F122" s="19"/>
      <c r="G122" s="18"/>
      <c r="H122" s="19"/>
      <c r="I122" s="19"/>
      <c r="J122" s="19"/>
      <c r="K122" s="19"/>
      <c r="L122" s="19"/>
    </row>
    <row r="123" spans="1:12" ht="16.5" customHeight="1" hidden="1">
      <c r="A123" s="19"/>
      <c r="B123" s="18" t="s">
        <v>739</v>
      </c>
      <c r="C123" s="484" t="s">
        <v>338</v>
      </c>
      <c r="D123" s="484"/>
      <c r="E123" s="484"/>
      <c r="F123" s="484"/>
      <c r="G123" s="484"/>
      <c r="H123" s="484" t="s">
        <v>729</v>
      </c>
      <c r="I123" s="484"/>
      <c r="J123" s="484"/>
      <c r="K123" s="484"/>
      <c r="L123" s="43"/>
    </row>
    <row r="124" spans="1:11" ht="15.75" customHeight="1">
      <c r="A124" s="44"/>
      <c r="B124" s="44"/>
      <c r="C124" s="44"/>
      <c r="D124" s="44"/>
      <c r="E124" s="44"/>
      <c r="F124" s="44"/>
      <c r="G124" s="44"/>
      <c r="H124" s="44"/>
      <c r="I124" s="44"/>
      <c r="J124" s="44"/>
      <c r="K124" s="44"/>
    </row>
    <row r="125" spans="1:11" ht="15">
      <c r="A125" s="45"/>
      <c r="B125" s="46"/>
      <c r="C125" s="46"/>
      <c r="D125" s="46"/>
      <c r="E125" s="47"/>
      <c r="F125" s="47"/>
      <c r="G125" s="47"/>
      <c r="H125" s="47"/>
      <c r="I125" s="47"/>
      <c r="J125" s="47"/>
      <c r="K125" s="47"/>
    </row>
    <row r="126" spans="1:11" ht="15">
      <c r="A126" s="45"/>
      <c r="B126" s="46"/>
      <c r="C126" s="46"/>
      <c r="D126" s="46"/>
      <c r="E126" s="47"/>
      <c r="F126" s="47"/>
      <c r="G126" s="47"/>
      <c r="H126" s="47"/>
      <c r="I126" s="47"/>
      <c r="J126" s="47"/>
      <c r="K126" s="47"/>
    </row>
    <row r="127" spans="1:11" ht="15">
      <c r="A127" s="45"/>
      <c r="B127" s="46"/>
      <c r="C127" s="46"/>
      <c r="D127" s="46"/>
      <c r="E127" s="47"/>
      <c r="F127" s="47"/>
      <c r="G127" s="47"/>
      <c r="H127" s="47"/>
      <c r="I127" s="47"/>
      <c r="J127" s="47"/>
      <c r="K127" s="47"/>
    </row>
    <row r="128" spans="1:11" ht="15">
      <c r="A128" s="45"/>
      <c r="B128" s="46"/>
      <c r="C128" s="46"/>
      <c r="D128" s="46"/>
      <c r="E128" s="47"/>
      <c r="F128" s="47"/>
      <c r="G128" s="47"/>
      <c r="H128" s="47"/>
      <c r="I128" s="47"/>
      <c r="J128" s="47"/>
      <c r="K128" s="47"/>
    </row>
    <row r="129" spans="1:11" ht="15">
      <c r="A129" s="45"/>
      <c r="B129" s="46"/>
      <c r="C129" s="46"/>
      <c r="D129" s="46"/>
      <c r="E129" s="47"/>
      <c r="F129" s="47"/>
      <c r="G129" s="47"/>
      <c r="H129" s="47"/>
      <c r="I129" s="47"/>
      <c r="J129" s="47"/>
      <c r="K129" s="47"/>
    </row>
    <row r="130" spans="1:11" ht="15">
      <c r="A130" s="45"/>
      <c r="B130" s="46"/>
      <c r="C130" s="46"/>
      <c r="D130" s="46"/>
      <c r="E130" s="47"/>
      <c r="F130" s="47"/>
      <c r="G130" s="47"/>
      <c r="H130" s="47"/>
      <c r="I130" s="47"/>
      <c r="J130" s="47"/>
      <c r="K130" s="47"/>
    </row>
    <row r="131" spans="1:11" ht="15">
      <c r="A131" s="45"/>
      <c r="B131" s="46"/>
      <c r="C131" s="46"/>
      <c r="D131" s="46"/>
      <c r="E131" s="47"/>
      <c r="F131" s="47"/>
      <c r="G131" s="47"/>
      <c r="H131" s="47"/>
      <c r="I131" s="47"/>
      <c r="J131" s="47"/>
      <c r="K131" s="47"/>
    </row>
    <row r="132" spans="1:11" ht="15">
      <c r="A132" s="45"/>
      <c r="B132" s="46"/>
      <c r="C132" s="46"/>
      <c r="D132" s="46"/>
      <c r="E132" s="47"/>
      <c r="F132" s="47"/>
      <c r="G132" s="47"/>
      <c r="H132" s="47"/>
      <c r="I132" s="47"/>
      <c r="J132" s="47"/>
      <c r="K132" s="47"/>
    </row>
    <row r="133" spans="1:11" ht="15">
      <c r="A133" s="45"/>
      <c r="B133" s="46"/>
      <c r="C133" s="46"/>
      <c r="D133" s="46"/>
      <c r="E133" s="47"/>
      <c r="F133" s="47"/>
      <c r="G133" s="47"/>
      <c r="H133" s="47"/>
      <c r="I133" s="47"/>
      <c r="J133" s="47"/>
      <c r="K133" s="47"/>
    </row>
    <row r="134" spans="1:11" ht="15">
      <c r="A134" s="45"/>
      <c r="B134" s="46"/>
      <c r="C134" s="46"/>
      <c r="D134" s="46"/>
      <c r="E134" s="47"/>
      <c r="F134" s="47"/>
      <c r="G134" s="47"/>
      <c r="H134" s="47"/>
      <c r="I134" s="47"/>
      <c r="J134" s="47"/>
      <c r="K134" s="47"/>
    </row>
    <row r="135" spans="1:11" ht="15">
      <c r="A135" s="45"/>
      <c r="B135" s="46"/>
      <c r="C135" s="46"/>
      <c r="D135" s="46"/>
      <c r="E135" s="47"/>
      <c r="F135" s="47"/>
      <c r="G135" s="47"/>
      <c r="H135" s="47"/>
      <c r="I135" s="47"/>
      <c r="J135" s="47"/>
      <c r="K135" s="47"/>
    </row>
    <row r="136" spans="1:11" ht="15">
      <c r="A136" s="45"/>
      <c r="B136" s="46"/>
      <c r="C136" s="46"/>
      <c r="D136" s="46"/>
      <c r="E136" s="47"/>
      <c r="F136" s="47"/>
      <c r="G136" s="47"/>
      <c r="H136" s="47"/>
      <c r="I136" s="47"/>
      <c r="J136" s="47"/>
      <c r="K136" s="47"/>
    </row>
    <row r="137" spans="1:11" ht="15">
      <c r="A137" s="45"/>
      <c r="B137" s="46"/>
      <c r="C137" s="46"/>
      <c r="D137" s="46"/>
      <c r="E137" s="47"/>
      <c r="F137" s="47"/>
      <c r="G137" s="47"/>
      <c r="H137" s="47"/>
      <c r="I137" s="47"/>
      <c r="J137" s="47"/>
      <c r="K137" s="47"/>
    </row>
    <row r="138" spans="1:11" ht="15">
      <c r="A138" s="45"/>
      <c r="B138" s="46"/>
      <c r="C138" s="46"/>
      <c r="D138" s="46"/>
      <c r="E138" s="47"/>
      <c r="F138" s="47"/>
      <c r="G138" s="47"/>
      <c r="H138" s="47"/>
      <c r="I138" s="47"/>
      <c r="J138" s="47"/>
      <c r="K138" s="47"/>
    </row>
    <row r="139" spans="1:11" ht="15">
      <c r="A139" s="45"/>
      <c r="B139" s="46"/>
      <c r="C139" s="46"/>
      <c r="D139" s="46"/>
      <c r="E139" s="47"/>
      <c r="F139" s="47"/>
      <c r="G139" s="47"/>
      <c r="H139" s="47"/>
      <c r="I139" s="47"/>
      <c r="J139" s="47"/>
      <c r="K139" s="47"/>
    </row>
    <row r="140" spans="1:11" ht="15">
      <c r="A140" s="45"/>
      <c r="B140" s="46"/>
      <c r="C140" s="46"/>
      <c r="D140" s="46"/>
      <c r="E140" s="47"/>
      <c r="F140" s="47"/>
      <c r="G140" s="47"/>
      <c r="H140" s="47"/>
      <c r="I140" s="47"/>
      <c r="J140" s="47"/>
      <c r="K140" s="47"/>
    </row>
    <row r="141" spans="1:11" ht="15">
      <c r="A141" s="45"/>
      <c r="B141" s="46"/>
      <c r="C141" s="46"/>
      <c r="D141" s="46"/>
      <c r="E141" s="47"/>
      <c r="F141" s="47"/>
      <c r="G141" s="47"/>
      <c r="H141" s="47"/>
      <c r="I141" s="47"/>
      <c r="J141" s="47"/>
      <c r="K141" s="47"/>
    </row>
    <row r="142" spans="1:11" ht="15">
      <c r="A142" s="45"/>
      <c r="B142" s="46"/>
      <c r="C142" s="46"/>
      <c r="D142" s="46"/>
      <c r="E142" s="47"/>
      <c r="F142" s="47"/>
      <c r="G142" s="47"/>
      <c r="H142" s="47"/>
      <c r="I142" s="47"/>
      <c r="J142" s="47"/>
      <c r="K142" s="47"/>
    </row>
    <row r="143" spans="1:11" ht="15">
      <c r="A143" s="45"/>
      <c r="B143" s="46"/>
      <c r="C143" s="46"/>
      <c r="D143" s="46"/>
      <c r="E143" s="47"/>
      <c r="F143" s="47"/>
      <c r="G143" s="47"/>
      <c r="H143" s="47"/>
      <c r="I143" s="47"/>
      <c r="J143" s="47"/>
      <c r="K143" s="47"/>
    </row>
    <row r="144" spans="1:11" ht="15">
      <c r="A144" s="45"/>
      <c r="B144" s="46"/>
      <c r="C144" s="46"/>
      <c r="D144" s="46"/>
      <c r="E144" s="47"/>
      <c r="F144" s="47"/>
      <c r="G144" s="47"/>
      <c r="H144" s="47"/>
      <c r="I144" s="47"/>
      <c r="J144" s="47"/>
      <c r="K144" s="47"/>
    </row>
    <row r="145" spans="1:11" ht="15">
      <c r="A145" s="45"/>
      <c r="B145" s="46"/>
      <c r="C145" s="46"/>
      <c r="D145" s="46"/>
      <c r="E145" s="47"/>
      <c r="F145" s="47"/>
      <c r="G145" s="47"/>
      <c r="H145" s="47"/>
      <c r="I145" s="47"/>
      <c r="J145" s="47"/>
      <c r="K145" s="47"/>
    </row>
    <row r="146" spans="1:11" ht="15">
      <c r="A146" s="45"/>
      <c r="B146" s="46"/>
      <c r="C146" s="46"/>
      <c r="D146" s="46"/>
      <c r="E146" s="47"/>
      <c r="F146" s="47"/>
      <c r="G146" s="47"/>
      <c r="H146" s="47"/>
      <c r="I146" s="47"/>
      <c r="J146" s="47"/>
      <c r="K146" s="47"/>
    </row>
    <row r="147" spans="1:11" ht="15">
      <c r="A147" s="45"/>
      <c r="B147" s="46"/>
      <c r="C147" s="46"/>
      <c r="D147" s="46"/>
      <c r="E147" s="47"/>
      <c r="F147" s="47"/>
      <c r="G147" s="47"/>
      <c r="H147" s="47"/>
      <c r="I147" s="47"/>
      <c r="J147" s="47"/>
      <c r="K147" s="47"/>
    </row>
    <row r="148" spans="1:11" ht="15">
      <c r="A148" s="45"/>
      <c r="B148" s="46"/>
      <c r="C148" s="46"/>
      <c r="D148" s="46"/>
      <c r="E148" s="47"/>
      <c r="F148" s="47"/>
      <c r="G148" s="47"/>
      <c r="H148" s="47"/>
      <c r="I148" s="47"/>
      <c r="J148" s="47"/>
      <c r="K148" s="47"/>
    </row>
    <row r="149" spans="1:11" ht="15">
      <c r="A149" s="45"/>
      <c r="B149" s="46"/>
      <c r="C149" s="46"/>
      <c r="D149" s="46"/>
      <c r="E149" s="47"/>
      <c r="F149" s="47"/>
      <c r="G149" s="47"/>
      <c r="H149" s="47"/>
      <c r="I149" s="47"/>
      <c r="J149" s="47"/>
      <c r="K149" s="47"/>
    </row>
    <row r="150" spans="1:11" ht="15">
      <c r="A150" s="45"/>
      <c r="B150" s="46"/>
      <c r="C150" s="46"/>
      <c r="D150" s="46"/>
      <c r="E150" s="47"/>
      <c r="F150" s="47"/>
      <c r="G150" s="47"/>
      <c r="H150" s="47"/>
      <c r="I150" s="47"/>
      <c r="J150" s="47"/>
      <c r="K150" s="47"/>
    </row>
    <row r="151" spans="1:11" ht="15">
      <c r="A151" s="45"/>
      <c r="B151" s="46"/>
      <c r="C151" s="46"/>
      <c r="D151" s="46"/>
      <c r="E151" s="47"/>
      <c r="F151" s="47"/>
      <c r="G151" s="47"/>
      <c r="H151" s="47"/>
      <c r="I151" s="47"/>
      <c r="J151" s="47"/>
      <c r="K151" s="47"/>
    </row>
    <row r="152" spans="1:11" ht="15">
      <c r="A152" s="45"/>
      <c r="B152" s="46"/>
      <c r="C152" s="46"/>
      <c r="D152" s="46"/>
      <c r="E152" s="47"/>
      <c r="F152" s="47"/>
      <c r="G152" s="47"/>
      <c r="H152" s="47"/>
      <c r="I152" s="47"/>
      <c r="J152" s="47"/>
      <c r="K152" s="47"/>
    </row>
    <row r="153" spans="1:11" ht="15">
      <c r="A153" s="45"/>
      <c r="B153" s="46"/>
      <c r="C153" s="46"/>
      <c r="D153" s="46"/>
      <c r="E153" s="47"/>
      <c r="F153" s="47"/>
      <c r="G153" s="47"/>
      <c r="H153" s="47"/>
      <c r="I153" s="47"/>
      <c r="J153" s="47"/>
      <c r="K153" s="47"/>
    </row>
    <row r="154" spans="1:11" ht="15">
      <c r="A154" s="45"/>
      <c r="B154" s="46"/>
      <c r="C154" s="46"/>
      <c r="D154" s="46"/>
      <c r="E154" s="47"/>
      <c r="F154" s="47"/>
      <c r="G154" s="47"/>
      <c r="H154" s="47"/>
      <c r="I154" s="47"/>
      <c r="J154" s="47"/>
      <c r="K154" s="47"/>
    </row>
    <row r="155" spans="1:11" ht="15">
      <c r="A155" s="45"/>
      <c r="B155" s="46"/>
      <c r="C155" s="46"/>
      <c r="D155" s="46"/>
      <c r="E155" s="47"/>
      <c r="F155" s="47"/>
      <c r="G155" s="47"/>
      <c r="H155" s="47"/>
      <c r="I155" s="47"/>
      <c r="J155" s="47"/>
      <c r="K155" s="47"/>
    </row>
    <row r="156" spans="1:11" ht="15">
      <c r="A156" s="45"/>
      <c r="B156" s="46"/>
      <c r="C156" s="46"/>
      <c r="D156" s="46"/>
      <c r="E156" s="47"/>
      <c r="F156" s="47"/>
      <c r="G156" s="47"/>
      <c r="H156" s="47"/>
      <c r="I156" s="47"/>
      <c r="J156" s="47"/>
      <c r="K156" s="47"/>
    </row>
    <row r="157" spans="1:11" ht="15">
      <c r="A157" s="45"/>
      <c r="B157" s="46"/>
      <c r="C157" s="46"/>
      <c r="D157" s="46"/>
      <c r="E157" s="47"/>
      <c r="F157" s="47"/>
      <c r="G157" s="47"/>
      <c r="H157" s="47"/>
      <c r="I157" s="47"/>
      <c r="J157" s="47"/>
      <c r="K157" s="47"/>
    </row>
    <row r="158" spans="1:11" ht="15">
      <c r="A158" s="45"/>
      <c r="B158" s="46"/>
      <c r="C158" s="46"/>
      <c r="D158" s="46"/>
      <c r="E158" s="47"/>
      <c r="F158" s="47"/>
      <c r="G158" s="47"/>
      <c r="H158" s="47"/>
      <c r="I158" s="47"/>
      <c r="J158" s="47"/>
      <c r="K158" s="47"/>
    </row>
    <row r="159" spans="1:11" ht="15">
      <c r="A159" s="45"/>
      <c r="B159" s="46"/>
      <c r="C159" s="46"/>
      <c r="D159" s="46"/>
      <c r="E159" s="47"/>
      <c r="F159" s="47"/>
      <c r="G159" s="47"/>
      <c r="H159" s="47"/>
      <c r="I159" s="47"/>
      <c r="J159" s="47"/>
      <c r="K159" s="47"/>
    </row>
    <row r="160" spans="1:11" ht="15">
      <c r="A160" s="45"/>
      <c r="B160" s="46"/>
      <c r="C160" s="46"/>
      <c r="D160" s="46"/>
      <c r="E160" s="47"/>
      <c r="F160" s="47"/>
      <c r="G160" s="47"/>
      <c r="H160" s="47"/>
      <c r="I160" s="47"/>
      <c r="J160" s="47"/>
      <c r="K160" s="47"/>
    </row>
    <row r="161" spans="1:11" ht="15">
      <c r="A161" s="45"/>
      <c r="B161" s="46"/>
      <c r="C161" s="46"/>
      <c r="D161" s="46"/>
      <c r="E161" s="47"/>
      <c r="F161" s="47"/>
      <c r="G161" s="47"/>
      <c r="H161" s="47"/>
      <c r="I161" s="47"/>
      <c r="J161" s="47"/>
      <c r="K161" s="47"/>
    </row>
    <row r="162" spans="1:11" ht="15">
      <c r="A162" s="45"/>
      <c r="B162" s="46"/>
      <c r="C162" s="46"/>
      <c r="D162" s="46"/>
      <c r="E162" s="47"/>
      <c r="F162" s="47"/>
      <c r="G162" s="47"/>
      <c r="H162" s="47"/>
      <c r="I162" s="47"/>
      <c r="J162" s="47"/>
      <c r="K162" s="47"/>
    </row>
    <row r="163" spans="1:11" ht="15">
      <c r="A163" s="45"/>
      <c r="B163" s="46"/>
      <c r="C163" s="46"/>
      <c r="D163" s="46"/>
      <c r="E163" s="47"/>
      <c r="F163" s="47"/>
      <c r="G163" s="47"/>
      <c r="H163" s="47"/>
      <c r="I163" s="47"/>
      <c r="J163" s="47"/>
      <c r="K163" s="47"/>
    </row>
    <row r="164" spans="1:11" ht="15">
      <c r="A164" s="45"/>
      <c r="B164" s="46"/>
      <c r="C164" s="46"/>
      <c r="D164" s="46"/>
      <c r="E164" s="47"/>
      <c r="F164" s="47"/>
      <c r="G164" s="47"/>
      <c r="H164" s="47"/>
      <c r="I164" s="47"/>
      <c r="J164" s="47"/>
      <c r="K164" s="47"/>
    </row>
    <row r="165" spans="1:11" ht="15">
      <c r="A165" s="45"/>
      <c r="B165" s="46"/>
      <c r="C165" s="46"/>
      <c r="D165" s="46"/>
      <c r="E165" s="47"/>
      <c r="F165" s="47"/>
      <c r="G165" s="47"/>
      <c r="H165" s="47"/>
      <c r="I165" s="47"/>
      <c r="J165" s="47"/>
      <c r="K165" s="47"/>
    </row>
    <row r="166" spans="1:11" ht="15">
      <c r="A166" s="45"/>
      <c r="B166" s="46"/>
      <c r="C166" s="46"/>
      <c r="D166" s="46"/>
      <c r="E166" s="47"/>
      <c r="F166" s="47"/>
      <c r="G166" s="47"/>
      <c r="H166" s="47"/>
      <c r="I166" s="47"/>
      <c r="J166" s="47"/>
      <c r="K166" s="47"/>
    </row>
    <row r="167" spans="1:11" ht="15">
      <c r="A167" s="45"/>
      <c r="B167" s="46"/>
      <c r="C167" s="46"/>
      <c r="D167" s="46"/>
      <c r="E167" s="47"/>
      <c r="F167" s="47"/>
      <c r="G167" s="47"/>
      <c r="H167" s="47"/>
      <c r="I167" s="47"/>
      <c r="J167" s="47"/>
      <c r="K167" s="47"/>
    </row>
    <row r="168" spans="1:11" ht="15">
      <c r="A168" s="45"/>
      <c r="B168" s="46"/>
      <c r="C168" s="46"/>
      <c r="D168" s="46"/>
      <c r="E168" s="47"/>
      <c r="F168" s="47"/>
      <c r="G168" s="47"/>
      <c r="H168" s="47"/>
      <c r="I168" s="47"/>
      <c r="J168" s="47"/>
      <c r="K168" s="47"/>
    </row>
    <row r="169" spans="1:11" ht="15">
      <c r="A169" s="45"/>
      <c r="B169" s="46"/>
      <c r="C169" s="46"/>
      <c r="D169" s="46"/>
      <c r="E169" s="47"/>
      <c r="F169" s="47"/>
      <c r="G169" s="47"/>
      <c r="H169" s="47"/>
      <c r="I169" s="47"/>
      <c r="J169" s="47"/>
      <c r="K169" s="47"/>
    </row>
    <row r="170" spans="1:11" ht="15">
      <c r="A170" s="45"/>
      <c r="B170" s="46"/>
      <c r="C170" s="46"/>
      <c r="D170" s="46"/>
      <c r="E170" s="47"/>
      <c r="F170" s="47"/>
      <c r="G170" s="47"/>
      <c r="H170" s="47"/>
      <c r="I170" s="47"/>
      <c r="J170" s="47"/>
      <c r="K170" s="47"/>
    </row>
  </sheetData>
  <sheetProtection/>
  <mergeCells count="28">
    <mergeCell ref="H117:K117"/>
    <mergeCell ref="H118:K118"/>
    <mergeCell ref="C123:G123"/>
    <mergeCell ref="H123:K123"/>
    <mergeCell ref="J6:J7"/>
    <mergeCell ref="K6:K7"/>
    <mergeCell ref="C6:C7"/>
    <mergeCell ref="D6:D7"/>
    <mergeCell ref="H6:H7"/>
    <mergeCell ref="I6:I7"/>
    <mergeCell ref="F6:F7"/>
    <mergeCell ref="G6:G7"/>
    <mergeCell ref="A115:B115"/>
    <mergeCell ref="C115:G115"/>
    <mergeCell ref="H115:K115"/>
    <mergeCell ref="A116:B116"/>
    <mergeCell ref="C116:G116"/>
    <mergeCell ref="H116:K116"/>
    <mergeCell ref="A1:B1"/>
    <mergeCell ref="G1:K1"/>
    <mergeCell ref="A2:K2"/>
    <mergeCell ref="A3:K3"/>
    <mergeCell ref="A5:A7"/>
    <mergeCell ref="B5:B7"/>
    <mergeCell ref="C5:D5"/>
    <mergeCell ref="E5:E7"/>
    <mergeCell ref="F5:I5"/>
    <mergeCell ref="J5:K5"/>
  </mergeCells>
  <printOptions horizontalCentered="1"/>
  <pageMargins left="0.5" right="0.2" top="0.6" bottom="0.5" header="0.31496062992126" footer="0.31496062992126"/>
  <pageSetup horizontalDpi="600" verticalDpi="600" orientation="landscape" paperSize="9" scale="70"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dimension ref="A1:W64"/>
  <sheetViews>
    <sheetView workbookViewId="0" topLeftCell="A41">
      <selection activeCell="A56" sqref="A56:IV64"/>
    </sheetView>
  </sheetViews>
  <sheetFormatPr defaultColWidth="11.57421875" defaultRowHeight="15"/>
  <cols>
    <col min="1" max="1" width="6.421875" style="205" customWidth="1"/>
    <col min="2" max="2" width="53.00390625" style="204" customWidth="1"/>
    <col min="3" max="4" width="14.7109375" style="204" customWidth="1"/>
    <col min="5" max="7" width="15.28125" style="204" customWidth="1"/>
    <col min="8" max="8" width="14.140625" style="204" customWidth="1"/>
    <col min="9" max="10" width="14.421875" style="204" customWidth="1"/>
    <col min="11" max="11" width="7.00390625" style="204" hidden="1" customWidth="1"/>
    <col min="12" max="12" width="12.8515625" style="204" hidden="1" customWidth="1"/>
    <col min="13" max="17" width="10.421875" style="204" hidden="1" customWidth="1"/>
    <col min="18" max="20" width="13.421875" style="204" hidden="1" customWidth="1"/>
    <col min="21" max="21" width="10.28125" style="204" hidden="1" customWidth="1"/>
    <col min="22" max="22" width="0" style="204" hidden="1" customWidth="1"/>
    <col min="23" max="16384" width="11.57421875" style="204" customWidth="1"/>
  </cols>
  <sheetData>
    <row r="1" spans="1:10" ht="15">
      <c r="A1" s="498" t="s">
        <v>169</v>
      </c>
      <c r="B1" s="498"/>
      <c r="F1" s="499" t="s">
        <v>170</v>
      </c>
      <c r="G1" s="499"/>
      <c r="H1" s="499"/>
      <c r="I1" s="499"/>
      <c r="J1" s="499"/>
    </row>
    <row r="2" spans="1:10" ht="17.25">
      <c r="A2" s="500" t="s">
        <v>377</v>
      </c>
      <c r="B2" s="500"/>
      <c r="C2" s="500"/>
      <c r="D2" s="500"/>
      <c r="E2" s="500"/>
      <c r="F2" s="500"/>
      <c r="G2" s="500"/>
      <c r="H2" s="500"/>
      <c r="I2" s="500"/>
      <c r="J2" s="500"/>
    </row>
    <row r="3" spans="1:10" ht="15.75" customHeight="1">
      <c r="A3" s="501" t="str">
        <f>'61'!A3:K3</f>
        <v>(Kèm theo Báo cáo số  571 /BC-UBND ngày  10  tháng 11 năm 2023 của Ủy ban nhân dân tỉnh)</v>
      </c>
      <c r="B3" s="501"/>
      <c r="C3" s="501"/>
      <c r="D3" s="501"/>
      <c r="E3" s="501"/>
      <c r="F3" s="501"/>
      <c r="G3" s="501"/>
      <c r="H3" s="501"/>
      <c r="I3" s="501"/>
      <c r="J3" s="501"/>
    </row>
    <row r="4" spans="1:10" ht="15">
      <c r="A4" s="205" t="s">
        <v>171</v>
      </c>
      <c r="G4" s="206"/>
      <c r="I4" s="502" t="s">
        <v>2</v>
      </c>
      <c r="J4" s="502"/>
    </row>
    <row r="5" spans="1:18" ht="24" customHeight="1">
      <c r="A5" s="503" t="s">
        <v>48</v>
      </c>
      <c r="B5" s="503" t="s">
        <v>172</v>
      </c>
      <c r="C5" s="503" t="s">
        <v>474</v>
      </c>
      <c r="D5" s="503"/>
      <c r="E5" s="503" t="s">
        <v>50</v>
      </c>
      <c r="F5" s="503"/>
      <c r="G5" s="503"/>
      <c r="H5" s="503"/>
      <c r="I5" s="503" t="s">
        <v>173</v>
      </c>
      <c r="J5" s="503"/>
      <c r="L5" s="504" t="s">
        <v>174</v>
      </c>
      <c r="M5" s="504" t="s">
        <v>175</v>
      </c>
      <c r="N5" s="504" t="s">
        <v>176</v>
      </c>
      <c r="O5" s="504" t="s">
        <v>177</v>
      </c>
      <c r="P5" s="504" t="s">
        <v>178</v>
      </c>
      <c r="Q5" s="504" t="s">
        <v>179</v>
      </c>
      <c r="R5" s="504" t="s">
        <v>180</v>
      </c>
    </row>
    <row r="6" spans="1:20" ht="45.75" customHeight="1">
      <c r="A6" s="503"/>
      <c r="B6" s="503"/>
      <c r="C6" s="207" t="s">
        <v>53</v>
      </c>
      <c r="D6" s="207" t="s">
        <v>54</v>
      </c>
      <c r="E6" s="207" t="s">
        <v>181</v>
      </c>
      <c r="F6" s="207" t="s">
        <v>182</v>
      </c>
      <c r="G6" s="207" t="s">
        <v>183</v>
      </c>
      <c r="H6" s="207" t="s">
        <v>184</v>
      </c>
      <c r="I6" s="207" t="s">
        <v>53</v>
      </c>
      <c r="J6" s="207" t="s">
        <v>54</v>
      </c>
      <c r="L6" s="504"/>
      <c r="M6" s="504"/>
      <c r="N6" s="504"/>
      <c r="O6" s="504"/>
      <c r="P6" s="504"/>
      <c r="Q6" s="504"/>
      <c r="R6" s="504"/>
      <c r="S6" s="504" t="s">
        <v>185</v>
      </c>
      <c r="T6" s="504" t="s">
        <v>186</v>
      </c>
    </row>
    <row r="7" spans="1:20" ht="50.25" customHeight="1" hidden="1">
      <c r="A7" s="230"/>
      <c r="B7" s="231"/>
      <c r="C7" s="231"/>
      <c r="D7" s="231"/>
      <c r="E7" s="231"/>
      <c r="F7" s="231"/>
      <c r="G7" s="231"/>
      <c r="H7" s="231"/>
      <c r="I7" s="231"/>
      <c r="J7" s="231"/>
      <c r="L7" s="208"/>
      <c r="M7" s="208"/>
      <c r="N7" s="208"/>
      <c r="O7" s="208"/>
      <c r="P7" s="208"/>
      <c r="Q7" s="208"/>
      <c r="R7" s="208"/>
      <c r="S7" s="504"/>
      <c r="T7" s="504"/>
    </row>
    <row r="8" spans="1:20" ht="18" customHeight="1">
      <c r="A8" s="209" t="s">
        <v>15</v>
      </c>
      <c r="B8" s="210" t="s">
        <v>38</v>
      </c>
      <c r="C8" s="210">
        <v>1</v>
      </c>
      <c r="D8" s="211">
        <v>2</v>
      </c>
      <c r="E8" s="210">
        <v>3</v>
      </c>
      <c r="F8" s="211">
        <v>4</v>
      </c>
      <c r="G8" s="210">
        <v>5</v>
      </c>
      <c r="H8" s="211">
        <v>6</v>
      </c>
      <c r="I8" s="210">
        <v>7</v>
      </c>
      <c r="J8" s="212">
        <v>8</v>
      </c>
      <c r="L8" s="208"/>
      <c r="M8" s="208"/>
      <c r="N8" s="208"/>
      <c r="O8" s="208"/>
      <c r="P8" s="208"/>
      <c r="Q8" s="208"/>
      <c r="R8" s="208"/>
      <c r="S8" s="504"/>
      <c r="T8" s="504"/>
    </row>
    <row r="9" spans="1:20" ht="24" customHeight="1">
      <c r="A9" s="213"/>
      <c r="B9" s="214" t="s">
        <v>738</v>
      </c>
      <c r="C9" s="153">
        <f aca="true" t="shared" si="0" ref="C9:H9">C10+C49+C54+C55</f>
        <v>10870193</v>
      </c>
      <c r="D9" s="153">
        <f t="shared" si="0"/>
        <v>16353035</v>
      </c>
      <c r="E9" s="153">
        <f t="shared" si="0"/>
        <v>22861453</v>
      </c>
      <c r="F9" s="153">
        <f t="shared" si="0"/>
        <v>12984129</v>
      </c>
      <c r="G9" s="153">
        <f t="shared" si="0"/>
        <v>8577349</v>
      </c>
      <c r="H9" s="153">
        <f t="shared" si="0"/>
        <v>1299975</v>
      </c>
      <c r="I9" s="215">
        <f>E9/C9%</f>
        <v>210.3132207496224</v>
      </c>
      <c r="J9" s="215">
        <f aca="true" t="shared" si="1" ref="J9:J24">E9/D9%</f>
        <v>139.79945007150047</v>
      </c>
      <c r="L9" s="208">
        <v>583862</v>
      </c>
      <c r="M9" s="208">
        <v>11000</v>
      </c>
      <c r="N9" s="208">
        <v>550000</v>
      </c>
      <c r="O9" s="208">
        <f>90000+60000</f>
        <v>150000</v>
      </c>
      <c r="P9" s="208"/>
      <c r="Q9" s="208"/>
      <c r="R9" s="208">
        <f>L9+M9+N9+O9</f>
        <v>1294862</v>
      </c>
      <c r="S9" s="504"/>
      <c r="T9" s="504"/>
    </row>
    <row r="10" spans="1:18" s="231" customFormat="1" ht="24" customHeight="1">
      <c r="A10" s="216" t="s">
        <v>15</v>
      </c>
      <c r="B10" s="217" t="s">
        <v>187</v>
      </c>
      <c r="C10" s="154">
        <f aca="true" t="shared" si="2" ref="C10:H10">C11+C28+C29+C43+C44+C45+C46+C47+C48</f>
        <v>10870193</v>
      </c>
      <c r="D10" s="154">
        <f>D11+D28+D29+D43+D44+D45+D46+D47+D48</f>
        <v>10970193</v>
      </c>
      <c r="E10" s="154">
        <f t="shared" si="2"/>
        <v>14429268</v>
      </c>
      <c r="F10" s="154">
        <f t="shared" si="2"/>
        <v>5855527</v>
      </c>
      <c r="G10" s="154">
        <f t="shared" si="2"/>
        <v>7285741</v>
      </c>
      <c r="H10" s="154">
        <f t="shared" si="2"/>
        <v>1288000</v>
      </c>
      <c r="I10" s="218">
        <f>E10/C10%</f>
        <v>132.74159897620953</v>
      </c>
      <c r="J10" s="218">
        <f t="shared" si="1"/>
        <v>131.53157834142024</v>
      </c>
      <c r="L10" s="219"/>
      <c r="M10" s="219"/>
      <c r="N10" s="219"/>
      <c r="O10" s="219"/>
      <c r="P10" s="219"/>
      <c r="Q10" s="219"/>
      <c r="R10" s="219">
        <f aca="true" t="shared" si="3" ref="R10:R27">L10+M10+N10+O10</f>
        <v>0</v>
      </c>
    </row>
    <row r="11" spans="1:21" s="231" customFormat="1" ht="24" customHeight="1">
      <c r="A11" s="216" t="s">
        <v>64</v>
      </c>
      <c r="B11" s="217" t="s">
        <v>19</v>
      </c>
      <c r="C11" s="154">
        <f>2498375-14000</f>
        <v>2484375</v>
      </c>
      <c r="D11" s="154">
        <f>D12+D26+D27</f>
        <v>2478625</v>
      </c>
      <c r="E11" s="154">
        <f>F11+G11+H11</f>
        <v>2967321</v>
      </c>
      <c r="F11" s="154">
        <f>F12+F26+F27</f>
        <v>1599711</v>
      </c>
      <c r="G11" s="154">
        <f>G12+G26+G27</f>
        <v>1289015</v>
      </c>
      <c r="H11" s="154">
        <f>H12+H26+H27</f>
        <v>78595</v>
      </c>
      <c r="I11" s="218">
        <f>E11/C11%</f>
        <v>119.4393358490566</v>
      </c>
      <c r="J11" s="218">
        <f t="shared" si="1"/>
        <v>119.71641535125322</v>
      </c>
      <c r="L11" s="219">
        <f aca="true" t="shared" si="4" ref="L11:Q11">L12+L26+L27</f>
        <v>681462</v>
      </c>
      <c r="M11" s="219">
        <f t="shared" si="4"/>
        <v>11000</v>
      </c>
      <c r="N11" s="219">
        <f t="shared" si="4"/>
        <v>661500</v>
      </c>
      <c r="O11" s="219">
        <f t="shared" si="4"/>
        <v>116600</v>
      </c>
      <c r="P11" s="219">
        <f t="shared" si="4"/>
        <v>478600</v>
      </c>
      <c r="Q11" s="219">
        <f t="shared" si="4"/>
        <v>361265</v>
      </c>
      <c r="R11" s="219">
        <f t="shared" si="3"/>
        <v>1470562</v>
      </c>
      <c r="S11" s="231">
        <f>S12+S26+S27</f>
        <v>2287031</v>
      </c>
      <c r="T11" s="231">
        <f>T12+T26+T27</f>
        <v>1294862</v>
      </c>
      <c r="U11" s="231">
        <f>T11-R11</f>
        <v>-175700</v>
      </c>
    </row>
    <row r="12" spans="1:20" s="231" customFormat="1" ht="36" customHeight="1">
      <c r="A12" s="216" t="s">
        <v>66</v>
      </c>
      <c r="B12" s="217" t="s">
        <v>188</v>
      </c>
      <c r="C12" s="154"/>
      <c r="D12" s="154">
        <f>SUM(D13:D25)</f>
        <v>2425144</v>
      </c>
      <c r="E12" s="154">
        <f>F12+G12+H12</f>
        <v>2907319</v>
      </c>
      <c r="F12" s="154">
        <f>SUM(F13:F25)</f>
        <v>1569181</v>
      </c>
      <c r="G12" s="154">
        <f>SUM(G13:G25)</f>
        <v>1259543</v>
      </c>
      <c r="H12" s="154">
        <f>SUM(H13:H25)</f>
        <v>78595</v>
      </c>
      <c r="I12" s="218"/>
      <c r="J12" s="218">
        <f t="shared" si="1"/>
        <v>119.88232451351342</v>
      </c>
      <c r="L12" s="219">
        <f aca="true" t="shared" si="5" ref="L12:Q12">SUM(L13:L25)</f>
        <v>681462</v>
      </c>
      <c r="M12" s="219">
        <f t="shared" si="5"/>
        <v>11000</v>
      </c>
      <c r="N12" s="219">
        <f t="shared" si="5"/>
        <v>661500</v>
      </c>
      <c r="O12" s="219">
        <f t="shared" si="5"/>
        <v>116600</v>
      </c>
      <c r="P12" s="219">
        <f t="shared" si="5"/>
        <v>478600</v>
      </c>
      <c r="Q12" s="219">
        <f t="shared" si="5"/>
        <v>361265</v>
      </c>
      <c r="R12" s="219">
        <f t="shared" si="3"/>
        <v>1470562</v>
      </c>
      <c r="S12" s="231">
        <f>SUM(S13:S25)</f>
        <v>2287031</v>
      </c>
      <c r="T12" s="231">
        <f>SUM(T13:T25)</f>
        <v>1287862</v>
      </c>
    </row>
    <row r="13" spans="1:20" ht="26.25" customHeight="1">
      <c r="A13" s="220" t="s">
        <v>189</v>
      </c>
      <c r="B13" s="221" t="s">
        <v>190</v>
      </c>
      <c r="C13" s="155"/>
      <c r="D13" s="222">
        <v>74599</v>
      </c>
      <c r="E13" s="155">
        <f>F13+G13+H13</f>
        <v>67507</v>
      </c>
      <c r="F13" s="155">
        <v>67177</v>
      </c>
      <c r="G13" s="155">
        <v>330</v>
      </c>
      <c r="H13" s="155"/>
      <c r="I13" s="223"/>
      <c r="J13" s="223">
        <f t="shared" si="1"/>
        <v>90.49317014973391</v>
      </c>
      <c r="L13" s="208">
        <f>1300+12000+8000+9000+4347</f>
        <v>34647</v>
      </c>
      <c r="M13" s="208"/>
      <c r="N13" s="208">
        <v>14700</v>
      </c>
      <c r="O13" s="208">
        <v>63185</v>
      </c>
      <c r="P13" s="208"/>
      <c r="Q13" s="208">
        <f>18726+7000</f>
        <v>25726</v>
      </c>
      <c r="R13" s="208">
        <f t="shared" si="3"/>
        <v>112532</v>
      </c>
      <c r="S13" s="204">
        <v>492</v>
      </c>
      <c r="T13" s="204">
        <v>492</v>
      </c>
    </row>
    <row r="14" spans="1:20" ht="26.25" customHeight="1">
      <c r="A14" s="220" t="s">
        <v>191</v>
      </c>
      <c r="B14" s="221" t="s">
        <v>192</v>
      </c>
      <c r="C14" s="155"/>
      <c r="D14" s="222">
        <v>18750</v>
      </c>
      <c r="E14" s="155">
        <f>F14+G14+H14</f>
        <v>18682</v>
      </c>
      <c r="F14" s="155">
        <v>18470</v>
      </c>
      <c r="G14" s="155">
        <v>212</v>
      </c>
      <c r="H14" s="155"/>
      <c r="I14" s="223"/>
      <c r="J14" s="223">
        <f t="shared" si="1"/>
        <v>99.63733333333333</v>
      </c>
      <c r="L14" s="208"/>
      <c r="M14" s="208"/>
      <c r="N14" s="208">
        <v>10660</v>
      </c>
      <c r="O14" s="208"/>
      <c r="P14" s="208"/>
      <c r="Q14" s="208"/>
      <c r="R14" s="208">
        <f t="shared" si="3"/>
        <v>10660</v>
      </c>
      <c r="S14" s="204">
        <v>155</v>
      </c>
      <c r="T14" s="204">
        <v>155</v>
      </c>
    </row>
    <row r="15" spans="1:22" ht="26.25" customHeight="1">
      <c r="A15" s="220" t="s">
        <v>193</v>
      </c>
      <c r="B15" s="221" t="s">
        <v>392</v>
      </c>
      <c r="C15" s="155"/>
      <c r="D15" s="222">
        <v>211119</v>
      </c>
      <c r="E15" s="155">
        <f>F15+G15+H15</f>
        <v>481791</v>
      </c>
      <c r="F15" s="155">
        <v>46067</v>
      </c>
      <c r="G15" s="155">
        <v>435174</v>
      </c>
      <c r="H15" s="155">
        <v>550</v>
      </c>
      <c r="I15" s="223"/>
      <c r="J15" s="223">
        <f t="shared" si="1"/>
        <v>228.20826169127363</v>
      </c>
      <c r="L15" s="208">
        <v>96800</v>
      </c>
      <c r="M15" s="208"/>
      <c r="N15" s="208">
        <v>51468</v>
      </c>
      <c r="O15" s="208">
        <v>1000</v>
      </c>
      <c r="P15" s="208">
        <f>6688+11000</f>
        <v>17688</v>
      </c>
      <c r="Q15" s="208">
        <v>17400</v>
      </c>
      <c r="R15" s="208">
        <f t="shared" si="3"/>
        <v>149268</v>
      </c>
      <c r="S15" s="204">
        <v>195150</v>
      </c>
      <c r="T15" s="204">
        <v>195150</v>
      </c>
      <c r="V15" s="206"/>
    </row>
    <row r="16" spans="1:18" ht="26.25" customHeight="1">
      <c r="A16" s="220" t="s">
        <v>194</v>
      </c>
      <c r="B16" s="221" t="s">
        <v>393</v>
      </c>
      <c r="C16" s="155"/>
      <c r="D16" s="222"/>
      <c r="E16" s="155"/>
      <c r="F16" s="155"/>
      <c r="G16" s="155"/>
      <c r="H16" s="155"/>
      <c r="I16" s="223"/>
      <c r="J16" s="223"/>
      <c r="L16" s="208">
        <v>1000</v>
      </c>
      <c r="M16" s="208"/>
      <c r="N16" s="208"/>
      <c r="O16" s="208"/>
      <c r="P16" s="208"/>
      <c r="Q16" s="208"/>
      <c r="R16" s="208">
        <f t="shared" si="3"/>
        <v>1000</v>
      </c>
    </row>
    <row r="17" spans="1:20" ht="26.25" customHeight="1">
      <c r="A17" s="220" t="s">
        <v>195</v>
      </c>
      <c r="B17" s="221" t="s">
        <v>394</v>
      </c>
      <c r="C17" s="155"/>
      <c r="D17" s="222">
        <v>38650</v>
      </c>
      <c r="E17" s="155">
        <f aca="true" t="shared" si="6" ref="E17:E44">F17+G17+H17</f>
        <v>34963</v>
      </c>
      <c r="F17" s="155">
        <v>23043</v>
      </c>
      <c r="G17" s="155">
        <v>11920</v>
      </c>
      <c r="H17" s="155"/>
      <c r="I17" s="223"/>
      <c r="J17" s="223">
        <f t="shared" si="1"/>
        <v>90.46054333764553</v>
      </c>
      <c r="L17" s="208">
        <v>20500</v>
      </c>
      <c r="M17" s="208"/>
      <c r="N17" s="208">
        <v>2793</v>
      </c>
      <c r="O17" s="208"/>
      <c r="P17" s="208">
        <f>112000+12704</f>
        <v>124704</v>
      </c>
      <c r="Q17" s="208">
        <v>8000</v>
      </c>
      <c r="R17" s="208">
        <f t="shared" si="3"/>
        <v>23293</v>
      </c>
      <c r="S17" s="204">
        <v>80996</v>
      </c>
      <c r="T17" s="204">
        <v>65405</v>
      </c>
    </row>
    <row r="18" spans="1:20" ht="26.25" customHeight="1">
      <c r="A18" s="220" t="s">
        <v>196</v>
      </c>
      <c r="B18" s="221" t="s">
        <v>395</v>
      </c>
      <c r="C18" s="155"/>
      <c r="D18" s="222">
        <v>73735</v>
      </c>
      <c r="E18" s="155">
        <f t="shared" si="6"/>
        <v>69650</v>
      </c>
      <c r="F18" s="155">
        <v>4026</v>
      </c>
      <c r="G18" s="155">
        <v>56904</v>
      </c>
      <c r="H18" s="155">
        <v>8720</v>
      </c>
      <c r="I18" s="223"/>
      <c r="J18" s="223">
        <f t="shared" si="1"/>
        <v>94.45989014714857</v>
      </c>
      <c r="L18" s="208">
        <v>1590</v>
      </c>
      <c r="M18" s="208"/>
      <c r="N18" s="208">
        <v>1338</v>
      </c>
      <c r="O18" s="208"/>
      <c r="P18" s="208"/>
      <c r="Q18" s="208"/>
      <c r="R18" s="208">
        <f t="shared" si="3"/>
        <v>2928</v>
      </c>
      <c r="S18" s="204">
        <v>5997</v>
      </c>
      <c r="T18" s="204">
        <v>5997</v>
      </c>
    </row>
    <row r="19" spans="1:20" ht="26.25" customHeight="1">
      <c r="A19" s="220" t="s">
        <v>197</v>
      </c>
      <c r="B19" s="221" t="s">
        <v>396</v>
      </c>
      <c r="C19" s="155"/>
      <c r="D19" s="222">
        <v>158</v>
      </c>
      <c r="E19" s="155">
        <f t="shared" si="6"/>
        <v>158</v>
      </c>
      <c r="F19" s="155">
        <v>158</v>
      </c>
      <c r="G19" s="155"/>
      <c r="H19" s="155"/>
      <c r="I19" s="223"/>
      <c r="J19" s="223">
        <f t="shared" si="1"/>
        <v>100</v>
      </c>
      <c r="L19" s="208">
        <v>1989</v>
      </c>
      <c r="M19" s="208"/>
      <c r="N19" s="208">
        <v>4500</v>
      </c>
      <c r="O19" s="208"/>
      <c r="P19" s="208"/>
      <c r="Q19" s="208"/>
      <c r="R19" s="208">
        <f t="shared" si="3"/>
        <v>6489</v>
      </c>
      <c r="S19" s="204">
        <v>5550</v>
      </c>
      <c r="T19" s="204">
        <v>5550</v>
      </c>
    </row>
    <row r="20" spans="1:18" ht="26.25" customHeight="1">
      <c r="A20" s="220" t="s">
        <v>198</v>
      </c>
      <c r="B20" s="221" t="s">
        <v>397</v>
      </c>
      <c r="C20" s="155"/>
      <c r="D20" s="222">
        <v>2405</v>
      </c>
      <c r="E20" s="155">
        <f t="shared" si="6"/>
        <v>3728</v>
      </c>
      <c r="F20" s="155"/>
      <c r="G20" s="155">
        <v>3728</v>
      </c>
      <c r="H20" s="155"/>
      <c r="I20" s="223"/>
      <c r="J20" s="223">
        <f t="shared" si="1"/>
        <v>155.010395010395</v>
      </c>
      <c r="L20" s="208">
        <v>1500</v>
      </c>
      <c r="M20" s="208"/>
      <c r="N20" s="208"/>
      <c r="O20" s="208"/>
      <c r="P20" s="208"/>
      <c r="Q20" s="208"/>
      <c r="R20" s="208">
        <f t="shared" si="3"/>
        <v>1500</v>
      </c>
    </row>
    <row r="21" spans="1:20" ht="26.25" customHeight="1">
      <c r="A21" s="220" t="s">
        <v>199</v>
      </c>
      <c r="B21" s="221" t="s">
        <v>398</v>
      </c>
      <c r="C21" s="155"/>
      <c r="D21" s="222">
        <v>21800</v>
      </c>
      <c r="E21" s="155">
        <f t="shared" si="6"/>
        <v>20577</v>
      </c>
      <c r="F21" s="155">
        <v>20577</v>
      </c>
      <c r="G21" s="155"/>
      <c r="H21" s="155"/>
      <c r="I21" s="223"/>
      <c r="J21" s="223">
        <f t="shared" si="1"/>
        <v>94.38990825688073</v>
      </c>
      <c r="L21" s="208">
        <v>15761</v>
      </c>
      <c r="M21" s="208"/>
      <c r="N21" s="208">
        <v>6500</v>
      </c>
      <c r="O21" s="208"/>
      <c r="P21" s="208">
        <v>98500</v>
      </c>
      <c r="Q21" s="208"/>
      <c r="R21" s="208">
        <f t="shared" si="3"/>
        <v>22261</v>
      </c>
      <c r="S21" s="204">
        <v>97687</v>
      </c>
      <c r="T21" s="204">
        <v>97687</v>
      </c>
    </row>
    <row r="22" spans="1:20" ht="26.25" customHeight="1">
      <c r="A22" s="220" t="s">
        <v>399</v>
      </c>
      <c r="B22" s="221" t="s">
        <v>200</v>
      </c>
      <c r="C22" s="155"/>
      <c r="D22" s="222">
        <f>1817059-14000+9059</f>
        <v>1812118</v>
      </c>
      <c r="E22" s="155">
        <f t="shared" si="6"/>
        <v>1943179</v>
      </c>
      <c r="F22" s="155">
        <v>1220229</v>
      </c>
      <c r="G22" s="155">
        <v>659225</v>
      </c>
      <c r="H22" s="155">
        <v>63725</v>
      </c>
      <c r="I22" s="223"/>
      <c r="J22" s="223">
        <f t="shared" si="1"/>
        <v>107.23247603081036</v>
      </c>
      <c r="L22" s="208">
        <v>191784</v>
      </c>
      <c r="M22" s="208"/>
      <c r="N22" s="208">
        <v>191041</v>
      </c>
      <c r="O22" s="208">
        <v>33052</v>
      </c>
      <c r="P22" s="208">
        <f>9430+77683+57778+53000+39817</f>
        <v>237708</v>
      </c>
      <c r="Q22" s="208">
        <f>70907+6000+40767+33000+43965+87500</f>
        <v>282139</v>
      </c>
      <c r="R22" s="208">
        <f t="shared" si="3"/>
        <v>415877</v>
      </c>
      <c r="S22" s="204">
        <v>1729379</v>
      </c>
      <c r="T22" s="204">
        <v>784957</v>
      </c>
    </row>
    <row r="23" spans="1:20" ht="33.75" customHeight="1">
      <c r="A23" s="220" t="s">
        <v>201</v>
      </c>
      <c r="B23" s="221" t="s">
        <v>202</v>
      </c>
      <c r="C23" s="155"/>
      <c r="D23" s="222">
        <v>169700</v>
      </c>
      <c r="E23" s="155">
        <f t="shared" si="6"/>
        <v>129234</v>
      </c>
      <c r="F23" s="155">
        <v>80620</v>
      </c>
      <c r="G23" s="155">
        <v>48614</v>
      </c>
      <c r="H23" s="155"/>
      <c r="I23" s="223"/>
      <c r="J23" s="223">
        <f t="shared" si="1"/>
        <v>76.15439010017678</v>
      </c>
      <c r="L23" s="208">
        <v>27367</v>
      </c>
      <c r="M23" s="208"/>
      <c r="N23" s="208"/>
      <c r="O23" s="208">
        <v>11020</v>
      </c>
      <c r="P23" s="208"/>
      <c r="Q23" s="208"/>
      <c r="R23" s="208">
        <f t="shared" si="3"/>
        <v>38387</v>
      </c>
      <c r="S23" s="204">
        <v>169363</v>
      </c>
      <c r="T23" s="204">
        <v>130207</v>
      </c>
    </row>
    <row r="24" spans="1:20" ht="26.25" customHeight="1">
      <c r="A24" s="220" t="s">
        <v>203</v>
      </c>
      <c r="B24" s="221" t="s">
        <v>400</v>
      </c>
      <c r="C24" s="155"/>
      <c r="D24" s="222">
        <v>2110</v>
      </c>
      <c r="E24" s="155">
        <f t="shared" si="6"/>
        <v>7645</v>
      </c>
      <c r="F24" s="155">
        <v>1855</v>
      </c>
      <c r="G24" s="155">
        <v>190</v>
      </c>
      <c r="H24" s="155">
        <v>5600</v>
      </c>
      <c r="I24" s="223"/>
      <c r="J24" s="223">
        <f t="shared" si="1"/>
        <v>362.3222748815166</v>
      </c>
      <c r="L24" s="208">
        <v>12229</v>
      </c>
      <c r="M24" s="208"/>
      <c r="N24" s="208">
        <v>2250</v>
      </c>
      <c r="O24" s="208">
        <v>8343</v>
      </c>
      <c r="P24" s="208"/>
      <c r="Q24" s="208">
        <v>18000</v>
      </c>
      <c r="R24" s="208">
        <f t="shared" si="3"/>
        <v>22822</v>
      </c>
      <c r="S24" s="204">
        <v>2262</v>
      </c>
      <c r="T24" s="204">
        <v>2262</v>
      </c>
    </row>
    <row r="25" spans="1:18" ht="26.25" customHeight="1">
      <c r="A25" s="220" t="s">
        <v>204</v>
      </c>
      <c r="B25" s="221" t="s">
        <v>205</v>
      </c>
      <c r="C25" s="155"/>
      <c r="D25" s="222"/>
      <c r="E25" s="155">
        <f t="shared" si="6"/>
        <v>130205</v>
      </c>
      <c r="F25" s="155">
        <v>86959</v>
      </c>
      <c r="G25" s="155">
        <f>5278+39413-1445</f>
        <v>43246</v>
      </c>
      <c r="H25" s="155"/>
      <c r="I25" s="223"/>
      <c r="J25" s="223"/>
      <c r="L25" s="208">
        <f>6326+269969</f>
        <v>276295</v>
      </c>
      <c r="M25" s="208">
        <v>11000</v>
      </c>
      <c r="N25" s="208">
        <f>382375-6125</f>
        <v>376250</v>
      </c>
      <c r="O25" s="208"/>
      <c r="P25" s="208"/>
      <c r="Q25" s="208">
        <v>10000</v>
      </c>
      <c r="R25" s="208">
        <f t="shared" si="3"/>
        <v>663545</v>
      </c>
    </row>
    <row r="26" spans="1:18" s="231" customFormat="1" ht="72.75" customHeight="1">
      <c r="A26" s="216" t="s">
        <v>75</v>
      </c>
      <c r="B26" s="217" t="s">
        <v>206</v>
      </c>
      <c r="C26" s="154"/>
      <c r="D26" s="224">
        <f>30530+22951-2150</f>
        <v>51331</v>
      </c>
      <c r="E26" s="154">
        <f t="shared" si="6"/>
        <v>55034</v>
      </c>
      <c r="F26" s="154">
        <v>30530</v>
      </c>
      <c r="G26" s="154">
        <v>24504</v>
      </c>
      <c r="H26" s="154"/>
      <c r="I26" s="218"/>
      <c r="J26" s="218">
        <f aca="true" t="shared" si="7" ref="J26:J43">E26/D26%</f>
        <v>107.21396427110324</v>
      </c>
      <c r="R26" s="231">
        <f t="shared" si="3"/>
        <v>0</v>
      </c>
    </row>
    <row r="27" spans="1:20" s="231" customFormat="1" ht="25.5" customHeight="1">
      <c r="A27" s="216" t="s">
        <v>77</v>
      </c>
      <c r="B27" s="217" t="s">
        <v>207</v>
      </c>
      <c r="C27" s="154"/>
      <c r="D27" s="224">
        <v>2150</v>
      </c>
      <c r="E27" s="154">
        <f t="shared" si="6"/>
        <v>4968</v>
      </c>
      <c r="F27" s="154"/>
      <c r="G27" s="154">
        <v>4968</v>
      </c>
      <c r="H27" s="154"/>
      <c r="I27" s="218"/>
      <c r="J27" s="218">
        <f t="shared" si="7"/>
        <v>231.06976744186048</v>
      </c>
      <c r="R27" s="231">
        <f t="shared" si="3"/>
        <v>0</v>
      </c>
      <c r="T27" s="231">
        <v>7000</v>
      </c>
    </row>
    <row r="28" spans="1:10" s="231" customFormat="1" ht="25.5" customHeight="1">
      <c r="A28" s="216" t="s">
        <v>128</v>
      </c>
      <c r="B28" s="217" t="s">
        <v>208</v>
      </c>
      <c r="C28" s="154"/>
      <c r="D28" s="154">
        <f>5750-4300</f>
        <v>1450</v>
      </c>
      <c r="E28" s="154">
        <f t="shared" si="6"/>
        <v>1488</v>
      </c>
      <c r="F28" s="154">
        <v>1488</v>
      </c>
      <c r="G28" s="154"/>
      <c r="H28" s="154"/>
      <c r="I28" s="218"/>
      <c r="J28" s="218">
        <f t="shared" si="7"/>
        <v>102.62068965517241</v>
      </c>
    </row>
    <row r="29" spans="1:10" s="231" customFormat="1" ht="25.5" customHeight="1">
      <c r="A29" s="216" t="s">
        <v>130</v>
      </c>
      <c r="B29" s="217" t="s">
        <v>23</v>
      </c>
      <c r="C29" s="154">
        <f>8103861+89999</f>
        <v>8193860</v>
      </c>
      <c r="D29" s="154">
        <f>SUM(D30:D42)</f>
        <v>8193860</v>
      </c>
      <c r="E29" s="154">
        <f t="shared" si="6"/>
        <v>8019685</v>
      </c>
      <c r="F29" s="154">
        <f>SUM(F30:F42)</f>
        <v>1897190</v>
      </c>
      <c r="G29" s="154">
        <f>SUM(G30:G42)</f>
        <v>5080552</v>
      </c>
      <c r="H29" s="154">
        <f>SUM(H30:H42)</f>
        <v>1041943</v>
      </c>
      <c r="I29" s="218">
        <f>E29/C29%</f>
        <v>97.8743229686619</v>
      </c>
      <c r="J29" s="218">
        <f t="shared" si="7"/>
        <v>97.8743229686619</v>
      </c>
    </row>
    <row r="30" spans="1:10" ht="25.5" customHeight="1">
      <c r="A30" s="220" t="s">
        <v>150</v>
      </c>
      <c r="B30" s="221" t="s">
        <v>190</v>
      </c>
      <c r="C30" s="155"/>
      <c r="D30" s="155">
        <v>193875</v>
      </c>
      <c r="E30" s="155">
        <f t="shared" si="6"/>
        <v>194558</v>
      </c>
      <c r="F30" s="155">
        <v>79780</v>
      </c>
      <c r="G30" s="155">
        <v>47411</v>
      </c>
      <c r="H30" s="155">
        <v>67367</v>
      </c>
      <c r="I30" s="223"/>
      <c r="J30" s="223">
        <f t="shared" si="7"/>
        <v>100.35228884590586</v>
      </c>
    </row>
    <row r="31" spans="1:10" ht="25.5" customHeight="1">
      <c r="A31" s="220" t="s">
        <v>152</v>
      </c>
      <c r="B31" s="221" t="s">
        <v>192</v>
      </c>
      <c r="C31" s="155"/>
      <c r="D31" s="155">
        <v>97522</v>
      </c>
      <c r="E31" s="155">
        <f t="shared" si="6"/>
        <v>82943</v>
      </c>
      <c r="F31" s="155">
        <v>44156</v>
      </c>
      <c r="G31" s="155">
        <v>15667</v>
      </c>
      <c r="H31" s="155">
        <v>23120</v>
      </c>
      <c r="I31" s="223"/>
      <c r="J31" s="223">
        <f t="shared" si="7"/>
        <v>85.05055269580197</v>
      </c>
    </row>
    <row r="32" spans="1:10" ht="25.5" customHeight="1">
      <c r="A32" s="220" t="s">
        <v>209</v>
      </c>
      <c r="B32" s="221" t="s">
        <v>392</v>
      </c>
      <c r="C32" s="155">
        <v>3896096</v>
      </c>
      <c r="D32" s="155">
        <f>3896096+250</f>
        <v>3896346</v>
      </c>
      <c r="E32" s="155">
        <f t="shared" si="6"/>
        <v>3592938</v>
      </c>
      <c r="F32" s="155">
        <v>667981</v>
      </c>
      <c r="G32" s="155">
        <v>2918635</v>
      </c>
      <c r="H32" s="155">
        <v>6322</v>
      </c>
      <c r="I32" s="223">
        <f>E32/C32%</f>
        <v>92.21892889702923</v>
      </c>
      <c r="J32" s="223">
        <f t="shared" si="7"/>
        <v>92.21301188344157</v>
      </c>
    </row>
    <row r="33" spans="1:10" ht="25.5" customHeight="1">
      <c r="A33" s="220" t="s">
        <v>210</v>
      </c>
      <c r="B33" s="221" t="s">
        <v>393</v>
      </c>
      <c r="C33" s="155">
        <v>15016</v>
      </c>
      <c r="D33" s="155">
        <v>18330</v>
      </c>
      <c r="E33" s="155">
        <f t="shared" si="6"/>
        <v>19088</v>
      </c>
      <c r="F33" s="155">
        <v>18760</v>
      </c>
      <c r="G33" s="155">
        <v>328</v>
      </c>
      <c r="H33" s="155"/>
      <c r="I33" s="223">
        <f>E33/C33%</f>
        <v>127.11774107618541</v>
      </c>
      <c r="J33" s="223">
        <f t="shared" si="7"/>
        <v>104.13529732678668</v>
      </c>
    </row>
    <row r="34" spans="1:10" ht="25.5" customHeight="1">
      <c r="A34" s="220" t="s">
        <v>211</v>
      </c>
      <c r="B34" s="221" t="s">
        <v>394</v>
      </c>
      <c r="C34" s="155"/>
      <c r="D34" s="155">
        <v>794254</v>
      </c>
      <c r="E34" s="155">
        <f t="shared" si="6"/>
        <v>800978</v>
      </c>
      <c r="F34" s="155">
        <v>88772</v>
      </c>
      <c r="G34" s="155">
        <v>704124</v>
      </c>
      <c r="H34" s="155">
        <v>8082</v>
      </c>
      <c r="I34" s="223"/>
      <c r="J34" s="223">
        <f t="shared" si="7"/>
        <v>100.84658056490744</v>
      </c>
    </row>
    <row r="35" spans="1:10" ht="25.5" customHeight="1">
      <c r="A35" s="220" t="s">
        <v>212</v>
      </c>
      <c r="B35" s="221" t="s">
        <v>395</v>
      </c>
      <c r="C35" s="155"/>
      <c r="D35" s="155">
        <v>138052</v>
      </c>
      <c r="E35" s="155">
        <f t="shared" si="6"/>
        <v>126739</v>
      </c>
      <c r="F35" s="155">
        <v>68877</v>
      </c>
      <c r="G35" s="155">
        <v>34449</v>
      </c>
      <c r="H35" s="155">
        <v>23413</v>
      </c>
      <c r="I35" s="223"/>
      <c r="J35" s="223">
        <f t="shared" si="7"/>
        <v>91.80526178541419</v>
      </c>
    </row>
    <row r="36" spans="1:10" ht="25.5" customHeight="1">
      <c r="A36" s="220" t="s">
        <v>213</v>
      </c>
      <c r="B36" s="221" t="s">
        <v>396</v>
      </c>
      <c r="C36" s="155"/>
      <c r="D36" s="155">
        <v>55482</v>
      </c>
      <c r="E36" s="155">
        <f t="shared" si="6"/>
        <v>58996</v>
      </c>
      <c r="F36" s="155">
        <v>37428</v>
      </c>
      <c r="G36" s="155">
        <v>21568</v>
      </c>
      <c r="H36" s="155"/>
      <c r="I36" s="223"/>
      <c r="J36" s="223">
        <f t="shared" si="7"/>
        <v>106.33358566742366</v>
      </c>
    </row>
    <row r="37" spans="1:10" ht="25.5" customHeight="1">
      <c r="A37" s="220" t="s">
        <v>214</v>
      </c>
      <c r="B37" s="221" t="s">
        <v>397</v>
      </c>
      <c r="C37" s="155"/>
      <c r="D37" s="155">
        <v>25178</v>
      </c>
      <c r="E37" s="155">
        <f t="shared" si="6"/>
        <v>32336</v>
      </c>
      <c r="F37" s="155">
        <v>18825</v>
      </c>
      <c r="G37" s="155">
        <v>10375</v>
      </c>
      <c r="H37" s="155">
        <v>3136</v>
      </c>
      <c r="I37" s="223"/>
      <c r="J37" s="223">
        <f t="shared" si="7"/>
        <v>128.42958138057034</v>
      </c>
    </row>
    <row r="38" spans="1:10" ht="25.5" customHeight="1">
      <c r="A38" s="220" t="s">
        <v>215</v>
      </c>
      <c r="B38" s="221" t="s">
        <v>398</v>
      </c>
      <c r="C38" s="155">
        <v>47865</v>
      </c>
      <c r="D38" s="155">
        <v>99629</v>
      </c>
      <c r="E38" s="155">
        <f t="shared" si="6"/>
        <v>108910</v>
      </c>
      <c r="F38" s="155">
        <v>3117</v>
      </c>
      <c r="G38" s="155">
        <v>105237</v>
      </c>
      <c r="H38" s="155">
        <v>556</v>
      </c>
      <c r="I38" s="223">
        <f>E38/C38%</f>
        <v>227.5357777081375</v>
      </c>
      <c r="J38" s="223">
        <f t="shared" si="7"/>
        <v>109.31556073030946</v>
      </c>
    </row>
    <row r="39" spans="1:10" ht="25.5" customHeight="1">
      <c r="A39" s="220" t="s">
        <v>401</v>
      </c>
      <c r="B39" s="221" t="s">
        <v>200</v>
      </c>
      <c r="C39" s="155"/>
      <c r="D39" s="155">
        <v>733343</v>
      </c>
      <c r="E39" s="155">
        <f t="shared" si="6"/>
        <v>886761</v>
      </c>
      <c r="F39" s="155">
        <v>365660</v>
      </c>
      <c r="G39" s="155">
        <v>468940</v>
      </c>
      <c r="H39" s="155">
        <v>52161</v>
      </c>
      <c r="I39" s="223"/>
      <c r="J39" s="223">
        <f t="shared" si="7"/>
        <v>120.92036059524669</v>
      </c>
    </row>
    <row r="40" spans="1:23" ht="37.5" customHeight="1">
      <c r="A40" s="220" t="s">
        <v>216</v>
      </c>
      <c r="B40" s="221" t="s">
        <v>202</v>
      </c>
      <c r="C40" s="155"/>
      <c r="D40" s="155">
        <v>1524869</v>
      </c>
      <c r="E40" s="155">
        <f t="shared" si="6"/>
        <v>1666012</v>
      </c>
      <c r="F40" s="155">
        <v>447003</v>
      </c>
      <c r="G40" s="155">
        <v>402716</v>
      </c>
      <c r="H40" s="155">
        <v>816293</v>
      </c>
      <c r="I40" s="223"/>
      <c r="J40" s="223">
        <f t="shared" si="7"/>
        <v>109.25607380043793</v>
      </c>
      <c r="W40" s="206"/>
    </row>
    <row r="41" spans="1:10" ht="24" customHeight="1">
      <c r="A41" s="220" t="s">
        <v>217</v>
      </c>
      <c r="B41" s="221" t="s">
        <v>218</v>
      </c>
      <c r="C41" s="155"/>
      <c r="D41" s="155">
        <v>323983</v>
      </c>
      <c r="E41" s="155">
        <f t="shared" si="6"/>
        <v>374059</v>
      </c>
      <c r="F41" s="155">
        <v>56810</v>
      </c>
      <c r="G41" s="155">
        <v>282510</v>
      </c>
      <c r="H41" s="155">
        <v>34739</v>
      </c>
      <c r="I41" s="223"/>
      <c r="J41" s="223">
        <f t="shared" si="7"/>
        <v>115.45636653775044</v>
      </c>
    </row>
    <row r="42" spans="1:10" ht="24" customHeight="1">
      <c r="A42" s="220" t="s">
        <v>219</v>
      </c>
      <c r="B42" s="221" t="s">
        <v>220</v>
      </c>
      <c r="C42" s="155"/>
      <c r="D42" s="155">
        <v>292997</v>
      </c>
      <c r="E42" s="155">
        <f>F42+G42+H42</f>
        <v>75367</v>
      </c>
      <c r="F42" s="155">
        <v>21</v>
      </c>
      <c r="G42" s="155">
        <f>45689+60871-39413+1445</f>
        <v>68592</v>
      </c>
      <c r="H42" s="155">
        <f>2950+3804</f>
        <v>6754</v>
      </c>
      <c r="I42" s="223"/>
      <c r="J42" s="223">
        <f t="shared" si="7"/>
        <v>25.722788970535536</v>
      </c>
    </row>
    <row r="43" spans="1:10" s="231" customFormat="1" ht="24" customHeight="1">
      <c r="A43" s="216" t="s">
        <v>142</v>
      </c>
      <c r="B43" s="217" t="s">
        <v>25</v>
      </c>
      <c r="C43" s="154">
        <v>1400</v>
      </c>
      <c r="D43" s="154">
        <v>1400</v>
      </c>
      <c r="E43" s="154">
        <f t="shared" si="6"/>
        <v>1400</v>
      </c>
      <c r="F43" s="154">
        <v>1400</v>
      </c>
      <c r="G43" s="154"/>
      <c r="H43" s="154"/>
      <c r="I43" s="218">
        <f>E43/C43%</f>
        <v>100</v>
      </c>
      <c r="J43" s="218">
        <f t="shared" si="7"/>
        <v>100</v>
      </c>
    </row>
    <row r="44" spans="1:10" s="231" customFormat="1" ht="24" customHeight="1">
      <c r="A44" s="216" t="s">
        <v>143</v>
      </c>
      <c r="B44" s="217" t="s">
        <v>33</v>
      </c>
      <c r="C44" s="154"/>
      <c r="D44" s="154"/>
      <c r="E44" s="154">
        <f t="shared" si="6"/>
        <v>3854</v>
      </c>
      <c r="F44" s="154">
        <v>3304</v>
      </c>
      <c r="G44" s="154">
        <v>550</v>
      </c>
      <c r="H44" s="154"/>
      <c r="I44" s="218"/>
      <c r="J44" s="218"/>
    </row>
    <row r="45" spans="1:10" s="231" customFormat="1" ht="24" customHeight="1">
      <c r="A45" s="216" t="s">
        <v>147</v>
      </c>
      <c r="B45" s="217" t="s">
        <v>402</v>
      </c>
      <c r="C45" s="154"/>
      <c r="D45" s="154">
        <v>97287</v>
      </c>
      <c r="E45" s="154"/>
      <c r="F45" s="154"/>
      <c r="G45" s="154"/>
      <c r="H45" s="154"/>
      <c r="I45" s="218"/>
      <c r="J45" s="218"/>
    </row>
    <row r="46" spans="1:10" s="231" customFormat="1" ht="24" customHeight="1">
      <c r="A46" s="216" t="s">
        <v>222</v>
      </c>
      <c r="B46" s="217" t="s">
        <v>221</v>
      </c>
      <c r="C46" s="154"/>
      <c r="D46" s="154"/>
      <c r="E46" s="154">
        <f>F46+G46+H46</f>
        <v>3431121</v>
      </c>
      <c r="F46" s="154">
        <v>2348035</v>
      </c>
      <c r="G46" s="154">
        <v>915624</v>
      </c>
      <c r="H46" s="154">
        <v>167462</v>
      </c>
      <c r="I46" s="218"/>
      <c r="J46" s="218"/>
    </row>
    <row r="47" spans="1:10" s="231" customFormat="1" ht="24" customHeight="1">
      <c r="A47" s="216" t="s">
        <v>370</v>
      </c>
      <c r="B47" s="217" t="s">
        <v>223</v>
      </c>
      <c r="C47" s="154">
        <v>190558</v>
      </c>
      <c r="D47" s="154">
        <v>193271</v>
      </c>
      <c r="E47" s="154">
        <f>F47+G47+H47</f>
        <v>0</v>
      </c>
      <c r="F47" s="154"/>
      <c r="G47" s="154"/>
      <c r="H47" s="154"/>
      <c r="I47" s="218">
        <f>E47/C47%</f>
        <v>0</v>
      </c>
      <c r="J47" s="218">
        <f aca="true" t="shared" si="8" ref="J47:J52">E47/D47%</f>
        <v>0</v>
      </c>
    </row>
    <row r="48" spans="1:10" s="231" customFormat="1" ht="24" customHeight="1">
      <c r="A48" s="216" t="s">
        <v>404</v>
      </c>
      <c r="B48" s="217" t="s">
        <v>371</v>
      </c>
      <c r="C48" s="154"/>
      <c r="D48" s="154">
        <v>4300</v>
      </c>
      <c r="E48" s="154">
        <f>F48</f>
        <v>4399</v>
      </c>
      <c r="F48" s="154">
        <v>4399</v>
      </c>
      <c r="G48" s="154"/>
      <c r="H48" s="154"/>
      <c r="I48" s="218"/>
      <c r="J48" s="218">
        <f t="shared" si="8"/>
        <v>102.30232558139535</v>
      </c>
    </row>
    <row r="49" spans="1:10" ht="24" customHeight="1">
      <c r="A49" s="216" t="s">
        <v>38</v>
      </c>
      <c r="B49" s="217" t="s">
        <v>224</v>
      </c>
      <c r="C49" s="154"/>
      <c r="D49" s="154">
        <f>D50+D51</f>
        <v>5382842</v>
      </c>
      <c r="E49" s="154">
        <f>F49+G49+H49</f>
        <v>8185275</v>
      </c>
      <c r="F49" s="154">
        <f>F50+F51</f>
        <v>7017103</v>
      </c>
      <c r="G49" s="154">
        <f>G50+G51</f>
        <v>1168172</v>
      </c>
      <c r="H49" s="154"/>
      <c r="I49" s="218"/>
      <c r="J49" s="218">
        <f t="shared" si="8"/>
        <v>152.0623306424376</v>
      </c>
    </row>
    <row r="50" spans="1:10" ht="24" customHeight="1">
      <c r="A50" s="220" t="s">
        <v>66</v>
      </c>
      <c r="B50" s="221" t="s">
        <v>161</v>
      </c>
      <c r="C50" s="155"/>
      <c r="D50" s="155">
        <v>5376962</v>
      </c>
      <c r="E50" s="155">
        <f>F50+G50+H50</f>
        <v>6214017</v>
      </c>
      <c r="F50" s="155">
        <v>5343717</v>
      </c>
      <c r="G50" s="155">
        <v>870300</v>
      </c>
      <c r="H50" s="155"/>
      <c r="I50" s="223"/>
      <c r="J50" s="223">
        <f t="shared" si="8"/>
        <v>115.56743380369807</v>
      </c>
    </row>
    <row r="51" spans="1:10" ht="24" customHeight="1">
      <c r="A51" s="220" t="s">
        <v>75</v>
      </c>
      <c r="B51" s="221" t="s">
        <v>162</v>
      </c>
      <c r="C51" s="155"/>
      <c r="D51" s="155">
        <f>D52</f>
        <v>5880</v>
      </c>
      <c r="E51" s="155">
        <f>F51+G51+H51</f>
        <v>1971258</v>
      </c>
      <c r="F51" s="155">
        <f>F52</f>
        <v>1673386</v>
      </c>
      <c r="G51" s="155">
        <f>G52</f>
        <v>297872</v>
      </c>
      <c r="H51" s="155"/>
      <c r="I51" s="223"/>
      <c r="J51" s="223">
        <f t="shared" si="8"/>
        <v>33524.79591836735</v>
      </c>
    </row>
    <row r="52" spans="1:10" ht="24" customHeight="1">
      <c r="A52" s="220"/>
      <c r="B52" s="221" t="s">
        <v>225</v>
      </c>
      <c r="C52" s="155"/>
      <c r="D52" s="155">
        <v>5880</v>
      </c>
      <c r="E52" s="155">
        <f>F52+G52+H52</f>
        <v>1971258</v>
      </c>
      <c r="F52" s="155">
        <v>1673386</v>
      </c>
      <c r="G52" s="155">
        <v>297872</v>
      </c>
      <c r="H52" s="155"/>
      <c r="I52" s="223"/>
      <c r="J52" s="223">
        <f t="shared" si="8"/>
        <v>33524.79591836735</v>
      </c>
    </row>
    <row r="53" spans="1:10" s="231" customFormat="1" ht="24" customHeight="1">
      <c r="A53" s="220"/>
      <c r="B53" s="221" t="s">
        <v>226</v>
      </c>
      <c r="C53" s="155"/>
      <c r="D53" s="155"/>
      <c r="E53" s="154"/>
      <c r="F53" s="155"/>
      <c r="G53" s="155"/>
      <c r="H53" s="155"/>
      <c r="I53" s="223"/>
      <c r="J53" s="223"/>
    </row>
    <row r="54" spans="1:10" s="231" customFormat="1" ht="21" customHeight="1">
      <c r="A54" s="216" t="s">
        <v>159</v>
      </c>
      <c r="B54" s="217" t="s">
        <v>227</v>
      </c>
      <c r="C54" s="154"/>
      <c r="D54" s="154"/>
      <c r="E54" s="154">
        <f>F54+G54+H54</f>
        <v>246910</v>
      </c>
      <c r="F54" s="154">
        <v>111499</v>
      </c>
      <c r="G54" s="154">
        <v>123436</v>
      </c>
      <c r="H54" s="154">
        <v>11975</v>
      </c>
      <c r="I54" s="218"/>
      <c r="J54" s="218"/>
    </row>
    <row r="55" spans="1:10" s="231" customFormat="1" ht="14.25" customHeight="1">
      <c r="A55" s="225"/>
      <c r="B55" s="226"/>
      <c r="C55" s="156"/>
      <c r="D55" s="156"/>
      <c r="E55" s="156"/>
      <c r="F55" s="156"/>
      <c r="G55" s="156"/>
      <c r="H55" s="156"/>
      <c r="I55" s="227"/>
      <c r="J55" s="227"/>
    </row>
    <row r="56" spans="1:11" ht="16.5" hidden="1">
      <c r="A56" s="505" t="s">
        <v>373</v>
      </c>
      <c r="B56" s="505"/>
      <c r="C56" s="505" t="s">
        <v>374</v>
      </c>
      <c r="D56" s="505"/>
      <c r="E56" s="505"/>
      <c r="F56" s="505"/>
      <c r="G56" s="505" t="s">
        <v>375</v>
      </c>
      <c r="H56" s="505"/>
      <c r="I56" s="505"/>
      <c r="J56" s="505"/>
      <c r="K56" s="19"/>
    </row>
    <row r="57" spans="1:11" ht="16.5" hidden="1">
      <c r="A57" s="506" t="s">
        <v>363</v>
      </c>
      <c r="B57" s="506"/>
      <c r="C57" s="506" t="s">
        <v>337</v>
      </c>
      <c r="D57" s="506"/>
      <c r="E57" s="506"/>
      <c r="F57" s="506"/>
      <c r="G57" s="506" t="s">
        <v>364</v>
      </c>
      <c r="H57" s="506"/>
      <c r="I57" s="506"/>
      <c r="J57" s="506"/>
      <c r="K57" s="19"/>
    </row>
    <row r="58" spans="1:11" ht="16.5" hidden="1">
      <c r="A58" s="228"/>
      <c r="B58" s="229"/>
      <c r="C58" s="53"/>
      <c r="D58" s="53"/>
      <c r="E58" s="53"/>
      <c r="F58" s="53"/>
      <c r="G58" s="506" t="s">
        <v>495</v>
      </c>
      <c r="H58" s="506"/>
      <c r="I58" s="506"/>
      <c r="J58" s="506"/>
      <c r="K58" s="19"/>
    </row>
    <row r="59" spans="1:11" ht="16.5" hidden="1">
      <c r="A59" s="228"/>
      <c r="B59" s="229"/>
      <c r="C59" s="53"/>
      <c r="D59" s="53"/>
      <c r="E59" s="53"/>
      <c r="F59" s="53"/>
      <c r="G59" s="197"/>
      <c r="H59" s="197"/>
      <c r="I59" s="197"/>
      <c r="J59" s="197"/>
      <c r="K59" s="43"/>
    </row>
    <row r="60" spans="1:10" ht="16.5" hidden="1">
      <c r="A60" s="228"/>
      <c r="B60" s="229"/>
      <c r="C60" s="53"/>
      <c r="D60" s="53"/>
      <c r="E60" s="53"/>
      <c r="F60" s="53"/>
      <c r="G60" s="50"/>
      <c r="H60" s="53"/>
      <c r="I60" s="53"/>
      <c r="J60" s="53"/>
    </row>
    <row r="61" spans="3:10" ht="16.5" hidden="1">
      <c r="C61" s="19"/>
      <c r="D61" s="19"/>
      <c r="E61" s="19"/>
      <c r="F61" s="19"/>
      <c r="G61" s="18"/>
      <c r="H61" s="19"/>
      <c r="I61" s="19"/>
      <c r="J61" s="19"/>
    </row>
    <row r="62" spans="3:10" ht="16.5" hidden="1">
      <c r="C62" s="19"/>
      <c r="D62" s="19"/>
      <c r="E62" s="19"/>
      <c r="F62" s="19"/>
      <c r="G62" s="18"/>
      <c r="H62" s="19"/>
      <c r="I62" s="19"/>
      <c r="J62" s="19"/>
    </row>
    <row r="63" spans="3:10" ht="16.5" hidden="1">
      <c r="C63" s="19"/>
      <c r="D63" s="19"/>
      <c r="E63" s="19"/>
      <c r="F63" s="19"/>
      <c r="G63" s="18"/>
      <c r="H63" s="19"/>
      <c r="I63" s="19"/>
      <c r="J63" s="19"/>
    </row>
    <row r="64" spans="2:10" ht="16.5" hidden="1">
      <c r="B64" s="320" t="s">
        <v>739</v>
      </c>
      <c r="C64" s="484" t="s">
        <v>338</v>
      </c>
      <c r="D64" s="484"/>
      <c r="E64" s="484"/>
      <c r="F64" s="484"/>
      <c r="G64" s="484" t="s">
        <v>729</v>
      </c>
      <c r="H64" s="484"/>
      <c r="I64" s="484"/>
      <c r="J64" s="484"/>
    </row>
  </sheetData>
  <sheetProtection/>
  <mergeCells count="28">
    <mergeCell ref="A57:B57"/>
    <mergeCell ref="C57:F57"/>
    <mergeCell ref="G57:J57"/>
    <mergeCell ref="G58:J58"/>
    <mergeCell ref="C64:F64"/>
    <mergeCell ref="G64:J64"/>
    <mergeCell ref="L5:L6"/>
    <mergeCell ref="M5:M6"/>
    <mergeCell ref="C5:D5"/>
    <mergeCell ref="E5:H5"/>
    <mergeCell ref="I5:J5"/>
    <mergeCell ref="A56:B56"/>
    <mergeCell ref="G56:J56"/>
    <mergeCell ref="C56:F56"/>
    <mergeCell ref="R5:R6"/>
    <mergeCell ref="S6:S9"/>
    <mergeCell ref="T6:T9"/>
    <mergeCell ref="N5:N6"/>
    <mergeCell ref="O5:O6"/>
    <mergeCell ref="P5:P6"/>
    <mergeCell ref="Q5:Q6"/>
    <mergeCell ref="A1:B1"/>
    <mergeCell ref="F1:J1"/>
    <mergeCell ref="A2:J2"/>
    <mergeCell ref="A3:J3"/>
    <mergeCell ref="I4:J4"/>
    <mergeCell ref="A5:A6"/>
    <mergeCell ref="B5:B6"/>
  </mergeCells>
  <printOptions horizontalCentered="1"/>
  <pageMargins left="0.5" right="0.2" top="0.7" bottom="0.5" header="0.31496062992126" footer="0.31496062992126"/>
  <pageSetup horizontalDpi="600" verticalDpi="600" orientation="landscape" paperSize="9" scale="75" r:id="rId1"/>
  <headerFooter differentFirst="1">
    <oddHeader>&amp;C&amp;P</oddHeader>
  </headerFooter>
</worksheet>
</file>

<file path=xl/worksheets/sheet6.xml><?xml version="1.0" encoding="utf-8"?>
<worksheet xmlns="http://schemas.openxmlformats.org/spreadsheetml/2006/main" xmlns:r="http://schemas.openxmlformats.org/officeDocument/2006/relationships">
  <dimension ref="A1:P29"/>
  <sheetViews>
    <sheetView zoomScalePageLayoutView="0" workbookViewId="0" topLeftCell="A13">
      <selection activeCell="I19" sqref="I19:L19"/>
    </sheetView>
  </sheetViews>
  <sheetFormatPr defaultColWidth="9.140625" defaultRowHeight="15"/>
  <cols>
    <col min="1" max="1" width="5.7109375" style="48" customWidth="1"/>
    <col min="2" max="2" width="31.140625" style="48" customWidth="1"/>
    <col min="3" max="4" width="12.7109375" style="48" customWidth="1"/>
    <col min="5" max="5" width="14.421875" style="48" customWidth="1"/>
    <col min="6" max="8" width="12.7109375" style="48" customWidth="1"/>
    <col min="9" max="9" width="14.7109375" style="48" customWidth="1"/>
    <col min="10" max="12" width="12.7109375" style="48" customWidth="1"/>
    <col min="13" max="16384" width="9.140625" style="48" customWidth="1"/>
  </cols>
  <sheetData>
    <row r="1" spans="1:12" ht="15">
      <c r="A1" s="511" t="s">
        <v>0</v>
      </c>
      <c r="B1" s="511"/>
      <c r="I1" s="512" t="s">
        <v>339</v>
      </c>
      <c r="J1" s="512"/>
      <c r="K1" s="512"/>
      <c r="L1" s="512"/>
    </row>
    <row r="2" spans="1:12" s="110" customFormat="1" ht="17.25">
      <c r="A2" s="513" t="s">
        <v>378</v>
      </c>
      <c r="B2" s="513"/>
      <c r="C2" s="513"/>
      <c r="D2" s="513"/>
      <c r="E2" s="513"/>
      <c r="F2" s="513"/>
      <c r="G2" s="513"/>
      <c r="H2" s="513"/>
      <c r="I2" s="513"/>
      <c r="J2" s="513"/>
      <c r="K2" s="513"/>
      <c r="L2" s="513"/>
    </row>
    <row r="3" spans="1:12" s="110" customFormat="1" ht="15">
      <c r="A3" s="514" t="str">
        <f>'62'!A3:J3</f>
        <v>(Kèm theo Báo cáo số  571 /BC-UBND ngày  10  tháng 11 năm 2023 của Ủy ban nhân dân tỉnh)</v>
      </c>
      <c r="B3" s="514"/>
      <c r="C3" s="514"/>
      <c r="D3" s="514"/>
      <c r="E3" s="514"/>
      <c r="F3" s="514"/>
      <c r="G3" s="514"/>
      <c r="H3" s="514"/>
      <c r="I3" s="514"/>
      <c r="J3" s="514"/>
      <c r="K3" s="514"/>
      <c r="L3" s="514"/>
    </row>
    <row r="4" ht="15">
      <c r="L4" s="114" t="s">
        <v>2</v>
      </c>
    </row>
    <row r="5" spans="1:12" s="115" customFormat="1" ht="24" customHeight="1">
      <c r="A5" s="509" t="s">
        <v>48</v>
      </c>
      <c r="B5" s="509" t="s">
        <v>340</v>
      </c>
      <c r="C5" s="509" t="s">
        <v>405</v>
      </c>
      <c r="D5" s="509" t="s">
        <v>406</v>
      </c>
      <c r="E5" s="509"/>
      <c r="F5" s="509"/>
      <c r="G5" s="509"/>
      <c r="H5" s="509" t="s">
        <v>407</v>
      </c>
      <c r="I5" s="509"/>
      <c r="J5" s="509"/>
      <c r="K5" s="509"/>
      <c r="L5" s="509" t="s">
        <v>408</v>
      </c>
    </row>
    <row r="6" spans="1:12" s="115" customFormat="1" ht="42" customHeight="1">
      <c r="A6" s="509"/>
      <c r="B6" s="509"/>
      <c r="C6" s="509"/>
      <c r="D6" s="509" t="s">
        <v>341</v>
      </c>
      <c r="E6" s="509"/>
      <c r="F6" s="509" t="s">
        <v>342</v>
      </c>
      <c r="G6" s="509" t="s">
        <v>343</v>
      </c>
      <c r="H6" s="509" t="s">
        <v>341</v>
      </c>
      <c r="I6" s="509"/>
      <c r="J6" s="509" t="s">
        <v>342</v>
      </c>
      <c r="K6" s="509" t="s">
        <v>343</v>
      </c>
      <c r="L6" s="509"/>
    </row>
    <row r="7" spans="1:12" s="115" customFormat="1" ht="55.5" customHeight="1">
      <c r="A7" s="509"/>
      <c r="B7" s="509"/>
      <c r="C7" s="509"/>
      <c r="D7" s="116" t="s">
        <v>180</v>
      </c>
      <c r="E7" s="116" t="s">
        <v>344</v>
      </c>
      <c r="F7" s="509"/>
      <c r="G7" s="509"/>
      <c r="H7" s="116" t="s">
        <v>180</v>
      </c>
      <c r="I7" s="116" t="s">
        <v>344</v>
      </c>
      <c r="J7" s="509"/>
      <c r="K7" s="509"/>
      <c r="L7" s="509"/>
    </row>
    <row r="8" spans="1:16" ht="23.25" customHeight="1">
      <c r="A8" s="321" t="s">
        <v>15</v>
      </c>
      <c r="B8" s="321" t="s">
        <v>38</v>
      </c>
      <c r="C8" s="321">
        <v>1</v>
      </c>
      <c r="D8" s="321">
        <v>2</v>
      </c>
      <c r="E8" s="321">
        <v>3</v>
      </c>
      <c r="F8" s="321">
        <v>4</v>
      </c>
      <c r="G8" s="321" t="s">
        <v>345</v>
      </c>
      <c r="H8" s="321">
        <v>6</v>
      </c>
      <c r="I8" s="321">
        <v>7</v>
      </c>
      <c r="J8" s="321">
        <v>8</v>
      </c>
      <c r="K8" s="321" t="s">
        <v>346</v>
      </c>
      <c r="L8" s="321" t="s">
        <v>347</v>
      </c>
      <c r="M8" s="121"/>
      <c r="N8" s="121"/>
      <c r="O8" s="121"/>
      <c r="P8" s="121"/>
    </row>
    <row r="9" spans="1:16" s="110" customFormat="1" ht="23.25" customHeight="1">
      <c r="A9" s="169"/>
      <c r="B9" s="170" t="s">
        <v>348</v>
      </c>
      <c r="C9" s="324">
        <v>174350.42846499998</v>
      </c>
      <c r="D9" s="324">
        <v>61707.886042</v>
      </c>
      <c r="E9" s="324">
        <v>54268</v>
      </c>
      <c r="F9" s="324">
        <v>212276.750578</v>
      </c>
      <c r="G9" s="324">
        <v>5417.135464</v>
      </c>
      <c r="H9" s="324">
        <v>103235.78598600002</v>
      </c>
      <c r="I9" s="324">
        <v>80243</v>
      </c>
      <c r="J9" s="324">
        <v>29304.052646</v>
      </c>
      <c r="K9" s="324">
        <v>73931.73334</v>
      </c>
      <c r="L9" s="324">
        <v>248282.161805</v>
      </c>
      <c r="M9" s="117"/>
      <c r="N9" s="118"/>
      <c r="O9" s="117"/>
      <c r="P9" s="117"/>
    </row>
    <row r="10" spans="1:16" ht="23.25" customHeight="1">
      <c r="A10" s="171">
        <v>1</v>
      </c>
      <c r="B10" s="172" t="s">
        <v>349</v>
      </c>
      <c r="C10" s="325">
        <v>155866</v>
      </c>
      <c r="D10" s="325">
        <v>54268</v>
      </c>
      <c r="E10" s="325">
        <v>54268</v>
      </c>
      <c r="F10" s="325">
        <v>205000</v>
      </c>
      <c r="G10" s="325">
        <v>5134</v>
      </c>
      <c r="H10" s="325">
        <v>89193</v>
      </c>
      <c r="I10" s="325">
        <v>80243</v>
      </c>
      <c r="J10" s="325">
        <v>18813</v>
      </c>
      <c r="K10" s="325">
        <v>70380</v>
      </c>
      <c r="L10" s="325">
        <v>226246</v>
      </c>
      <c r="M10" s="119"/>
      <c r="N10" s="120"/>
      <c r="O10" s="121"/>
      <c r="P10" s="121"/>
    </row>
    <row r="11" spans="1:16" ht="23.25" customHeight="1">
      <c r="A11" s="173">
        <v>2</v>
      </c>
      <c r="B11" s="174" t="s">
        <v>350</v>
      </c>
      <c r="C11" s="326">
        <v>6746.195616999999</v>
      </c>
      <c r="D11" s="326">
        <v>4816.750578</v>
      </c>
      <c r="E11" s="326"/>
      <c r="F11" s="326">
        <v>4816.750578</v>
      </c>
      <c r="G11" s="326">
        <v>0</v>
      </c>
      <c r="H11" s="326">
        <v>8013.903221</v>
      </c>
      <c r="I11" s="326"/>
      <c r="J11" s="326">
        <v>6442.680646</v>
      </c>
      <c r="K11" s="327">
        <v>1571.2225749999998</v>
      </c>
      <c r="L11" s="325">
        <v>8317.418191999997</v>
      </c>
      <c r="M11" s="121"/>
      <c r="N11" s="122"/>
      <c r="O11" s="121"/>
      <c r="P11" s="121"/>
    </row>
    <row r="12" spans="1:14" ht="23.25" customHeight="1">
      <c r="A12" s="171">
        <v>3</v>
      </c>
      <c r="B12" s="322" t="s">
        <v>743</v>
      </c>
      <c r="C12" s="328">
        <v>120</v>
      </c>
      <c r="D12" s="328"/>
      <c r="E12" s="328"/>
      <c r="F12" s="328"/>
      <c r="G12" s="328">
        <v>120</v>
      </c>
      <c r="H12" s="328">
        <v>2190</v>
      </c>
      <c r="I12" s="328"/>
      <c r="J12" s="328">
        <v>0</v>
      </c>
      <c r="K12" s="328">
        <v>2190</v>
      </c>
      <c r="L12" s="325">
        <v>2310</v>
      </c>
      <c r="N12" s="121"/>
    </row>
    <row r="13" spans="1:12" ht="23.25" customHeight="1">
      <c r="A13" s="173">
        <v>4</v>
      </c>
      <c r="B13" s="322" t="s">
        <v>740</v>
      </c>
      <c r="C13" s="326">
        <v>6549.567708999998</v>
      </c>
      <c r="D13" s="326"/>
      <c r="E13" s="326"/>
      <c r="F13" s="326"/>
      <c r="G13" s="326">
        <v>0</v>
      </c>
      <c r="H13" s="326">
        <v>1233.20695</v>
      </c>
      <c r="I13" s="326"/>
      <c r="J13" s="326">
        <v>3208.372</v>
      </c>
      <c r="K13" s="327">
        <v>-1975.1650499999998</v>
      </c>
      <c r="L13" s="325">
        <v>4574.402658999998</v>
      </c>
    </row>
    <row r="14" spans="1:12" ht="23.25" customHeight="1">
      <c r="A14" s="171">
        <v>5</v>
      </c>
      <c r="B14" s="322" t="s">
        <v>741</v>
      </c>
      <c r="C14" s="329">
        <v>1591.557488</v>
      </c>
      <c r="D14" s="330">
        <v>105.778</v>
      </c>
      <c r="E14" s="330">
        <v>0</v>
      </c>
      <c r="F14" s="330">
        <v>340</v>
      </c>
      <c r="G14" s="330">
        <v>-234.22199999999998</v>
      </c>
      <c r="H14" s="330">
        <v>105.778</v>
      </c>
      <c r="I14" s="330">
        <v>0</v>
      </c>
      <c r="J14" s="330">
        <v>340</v>
      </c>
      <c r="K14" s="330">
        <v>-234.22199999999998</v>
      </c>
      <c r="L14" s="325">
        <v>1357.335488</v>
      </c>
    </row>
    <row r="15" spans="1:12" ht="23.25" customHeight="1">
      <c r="A15" s="173">
        <v>6</v>
      </c>
      <c r="B15" s="322" t="s">
        <v>742</v>
      </c>
      <c r="C15" s="329">
        <v>860</v>
      </c>
      <c r="D15" s="330">
        <v>120</v>
      </c>
      <c r="E15" s="330">
        <v>0</v>
      </c>
      <c r="F15" s="330">
        <v>120</v>
      </c>
      <c r="G15" s="330">
        <v>0</v>
      </c>
      <c r="H15" s="330">
        <v>101</v>
      </c>
      <c r="I15" s="330"/>
      <c r="J15" s="330">
        <v>0</v>
      </c>
      <c r="K15" s="330">
        <v>101</v>
      </c>
      <c r="L15" s="325">
        <v>961</v>
      </c>
    </row>
    <row r="16" spans="1:12" ht="23.25" customHeight="1">
      <c r="A16" s="175">
        <v>7</v>
      </c>
      <c r="B16" s="176" t="s">
        <v>351</v>
      </c>
      <c r="C16" s="331">
        <v>2617.107651</v>
      </c>
      <c r="D16" s="331">
        <v>2397.3574639999997</v>
      </c>
      <c r="E16" s="331"/>
      <c r="F16" s="331">
        <v>2000</v>
      </c>
      <c r="G16" s="331">
        <v>397.3574639999997</v>
      </c>
      <c r="H16" s="331">
        <v>2398.897815</v>
      </c>
      <c r="I16" s="331"/>
      <c r="J16" s="331">
        <v>500</v>
      </c>
      <c r="K16" s="331">
        <v>1898.8978149999998</v>
      </c>
      <c r="L16" s="332">
        <v>4516.005466</v>
      </c>
    </row>
    <row r="17" ht="15">
      <c r="A17" s="49"/>
    </row>
    <row r="18" spans="1:12" ht="15">
      <c r="A18" s="134"/>
      <c r="C18" s="134"/>
      <c r="D18" s="134"/>
      <c r="E18" s="134"/>
      <c r="F18" s="134"/>
      <c r="G18" s="134"/>
      <c r="H18" s="134"/>
      <c r="I18" s="507" t="s">
        <v>379</v>
      </c>
      <c r="J18" s="507"/>
      <c r="K18" s="507"/>
      <c r="L18" s="507"/>
    </row>
    <row r="19" spans="1:12" ht="15">
      <c r="A19" s="134"/>
      <c r="B19" s="69" t="s">
        <v>336</v>
      </c>
      <c r="C19" s="134"/>
      <c r="D19" s="134"/>
      <c r="E19" s="134"/>
      <c r="F19" s="134"/>
      <c r="G19" s="134"/>
      <c r="H19" s="134"/>
      <c r="I19" s="508" t="s">
        <v>337</v>
      </c>
      <c r="J19" s="508"/>
      <c r="K19" s="508"/>
      <c r="L19" s="508"/>
    </row>
    <row r="20" spans="1:12" ht="15">
      <c r="A20" s="134"/>
      <c r="B20" s="134"/>
      <c r="C20" s="134"/>
      <c r="D20" s="134"/>
      <c r="E20" s="134"/>
      <c r="F20" s="134"/>
      <c r="G20" s="134"/>
      <c r="H20" s="134"/>
      <c r="I20" s="134"/>
      <c r="J20" s="134"/>
      <c r="K20" s="134"/>
      <c r="L20" s="134"/>
    </row>
    <row r="21" spans="1:12" ht="15">
      <c r="A21" s="134"/>
      <c r="B21" s="134"/>
      <c r="C21" s="134"/>
      <c r="D21" s="134"/>
      <c r="E21" s="134"/>
      <c r="F21" s="134"/>
      <c r="G21" s="134"/>
      <c r="H21" s="134"/>
      <c r="I21" s="134"/>
      <c r="J21" s="134"/>
      <c r="K21" s="134"/>
      <c r="L21" s="134"/>
    </row>
    <row r="22" spans="1:12" ht="15">
      <c r="A22" s="134"/>
      <c r="B22" s="134"/>
      <c r="C22" s="134"/>
      <c r="D22" s="134"/>
      <c r="E22" s="134"/>
      <c r="F22" s="134"/>
      <c r="G22" s="134"/>
      <c r="H22" s="134"/>
      <c r="I22" s="134"/>
      <c r="J22" s="134"/>
      <c r="K22" s="134"/>
      <c r="L22" s="134"/>
    </row>
    <row r="23" spans="1:12" ht="15">
      <c r="A23" s="134"/>
      <c r="B23" s="134"/>
      <c r="C23" s="134"/>
      <c r="D23" s="134"/>
      <c r="E23" s="134"/>
      <c r="F23" s="134"/>
      <c r="G23" s="134"/>
      <c r="H23" s="134"/>
      <c r="I23" s="134"/>
      <c r="J23" s="134"/>
      <c r="K23" s="134"/>
      <c r="L23" s="134"/>
    </row>
    <row r="24" spans="1:12" ht="15">
      <c r="A24" s="134"/>
      <c r="B24" s="134"/>
      <c r="C24" s="134"/>
      <c r="D24" s="134"/>
      <c r="E24" s="134"/>
      <c r="F24" s="134"/>
      <c r="G24" s="134"/>
      <c r="H24" s="134"/>
      <c r="I24" s="134"/>
      <c r="J24" s="134"/>
      <c r="K24" s="134"/>
      <c r="L24" s="134"/>
    </row>
    <row r="25" spans="1:12" ht="15">
      <c r="A25" s="134"/>
      <c r="B25" s="136" t="s">
        <v>366</v>
      </c>
      <c r="C25" s="134"/>
      <c r="D25" s="134"/>
      <c r="E25" s="134"/>
      <c r="F25" s="134"/>
      <c r="G25" s="134"/>
      <c r="H25" s="134"/>
      <c r="I25" s="510" t="s">
        <v>338</v>
      </c>
      <c r="J25" s="510"/>
      <c r="K25" s="510"/>
      <c r="L25" s="510"/>
    </row>
    <row r="26" spans="1:12" ht="15">
      <c r="A26" s="134"/>
      <c r="B26" s="134"/>
      <c r="C26" s="134"/>
      <c r="D26" s="134"/>
      <c r="E26" s="134"/>
      <c r="F26" s="134"/>
      <c r="G26" s="134"/>
      <c r="H26" s="134"/>
      <c r="I26" s="134"/>
      <c r="J26" s="134"/>
      <c r="K26" s="134"/>
      <c r="L26" s="134"/>
    </row>
    <row r="27" spans="1:12" ht="15">
      <c r="A27" s="134"/>
      <c r="B27" s="134"/>
      <c r="C27" s="134"/>
      <c r="D27" s="134"/>
      <c r="E27" s="134"/>
      <c r="F27" s="134"/>
      <c r="G27" s="134"/>
      <c r="H27" s="134"/>
      <c r="I27" s="134"/>
      <c r="J27" s="134"/>
      <c r="K27" s="134"/>
      <c r="L27" s="134"/>
    </row>
    <row r="28" spans="1:12" ht="15">
      <c r="A28" s="134"/>
      <c r="B28" s="134"/>
      <c r="C28" s="134"/>
      <c r="D28" s="134"/>
      <c r="E28" s="134"/>
      <c r="F28" s="134"/>
      <c r="G28" s="134"/>
      <c r="H28" s="134"/>
      <c r="I28" s="134"/>
      <c r="J28" s="134"/>
      <c r="K28" s="134"/>
      <c r="L28" s="134"/>
    </row>
    <row r="29" spans="1:12" ht="15">
      <c r="A29" s="134"/>
      <c r="B29" s="134"/>
      <c r="C29" s="134"/>
      <c r="D29" s="134"/>
      <c r="E29" s="134"/>
      <c r="F29" s="134"/>
      <c r="G29" s="134"/>
      <c r="H29" s="134"/>
      <c r="I29" s="134"/>
      <c r="J29" s="134"/>
      <c r="K29" s="134"/>
      <c r="L29" s="134"/>
    </row>
  </sheetData>
  <sheetProtection/>
  <mergeCells count="19">
    <mergeCell ref="I25:L25"/>
    <mergeCell ref="A1:B1"/>
    <mergeCell ref="I1:L1"/>
    <mergeCell ref="A2:L2"/>
    <mergeCell ref="A3:L3"/>
    <mergeCell ref="A5:A7"/>
    <mergeCell ref="B5:B7"/>
    <mergeCell ref="C5:C7"/>
    <mergeCell ref="D5:G5"/>
    <mergeCell ref="H5:K5"/>
    <mergeCell ref="I18:L18"/>
    <mergeCell ref="I19:L19"/>
    <mergeCell ref="L5:L7"/>
    <mergeCell ref="D6:E6"/>
    <mergeCell ref="F6:F7"/>
    <mergeCell ref="G6:G7"/>
    <mergeCell ref="H6:I6"/>
    <mergeCell ref="J6:J7"/>
    <mergeCell ref="K6:K7"/>
  </mergeCells>
  <printOptions horizontalCentered="1"/>
  <pageMargins left="0.5" right="0.2" top="0.7" bottom="0.5" header="0.31496062992126" footer="0.3149606299212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H26"/>
  <sheetViews>
    <sheetView zoomScalePageLayoutView="0" workbookViewId="0" topLeftCell="A1">
      <selection activeCell="H12" sqref="H12"/>
    </sheetView>
  </sheetViews>
  <sheetFormatPr defaultColWidth="11.57421875" defaultRowHeight="15"/>
  <cols>
    <col min="1" max="1" width="6.140625" style="124" customWidth="1"/>
    <col min="2" max="2" width="46.57421875" style="124" customWidth="1"/>
    <col min="3" max="3" width="15.28125" style="132" bestFit="1" customWidth="1"/>
    <col min="4" max="4" width="15.8515625" style="132" bestFit="1" customWidth="1"/>
    <col min="5" max="5" width="12.00390625" style="124" customWidth="1"/>
    <col min="6" max="16384" width="11.57421875" style="124" customWidth="1"/>
  </cols>
  <sheetData>
    <row r="1" spans="1:5" ht="15">
      <c r="A1" s="123" t="s">
        <v>0</v>
      </c>
      <c r="B1" s="123"/>
      <c r="C1" s="512" t="s">
        <v>352</v>
      </c>
      <c r="D1" s="512"/>
      <c r="E1" s="512"/>
    </row>
    <row r="2" spans="1:5" ht="15">
      <c r="A2" s="125"/>
      <c r="B2" s="125"/>
      <c r="C2" s="125"/>
      <c r="D2" s="125"/>
      <c r="E2" s="125"/>
    </row>
    <row r="3" spans="1:5" s="323" customFormat="1" ht="18">
      <c r="A3" s="513" t="s">
        <v>410</v>
      </c>
      <c r="B3" s="513"/>
      <c r="C3" s="513"/>
      <c r="D3" s="513"/>
      <c r="E3" s="513"/>
    </row>
    <row r="4" spans="1:5" s="323" customFormat="1" ht="18">
      <c r="A4" s="513" t="s">
        <v>353</v>
      </c>
      <c r="B4" s="513"/>
      <c r="C4" s="513"/>
      <c r="D4" s="513"/>
      <c r="E4" s="513"/>
    </row>
    <row r="5" spans="1:5" ht="15">
      <c r="A5" s="514" t="str">
        <f>'63 - NĐ 31'!A3:L3</f>
        <v>(Kèm theo Báo cáo số  571 /BC-UBND ngày  10  tháng 11 năm 2023 của Ủy ban nhân dân tỉnh)</v>
      </c>
      <c r="B5" s="514"/>
      <c r="C5" s="514"/>
      <c r="D5" s="514"/>
      <c r="E5" s="514"/>
    </row>
    <row r="6" spans="1:5" ht="15">
      <c r="A6" s="517" t="s">
        <v>2</v>
      </c>
      <c r="B6" s="517"/>
      <c r="C6" s="517"/>
      <c r="D6" s="517"/>
      <c r="E6" s="517"/>
    </row>
    <row r="7" spans="1:5" ht="15">
      <c r="A7" s="126"/>
      <c r="B7" s="126"/>
      <c r="C7" s="127"/>
      <c r="D7" s="127"/>
      <c r="E7" s="126"/>
    </row>
    <row r="8" spans="1:5" s="130" customFormat="1" ht="38.25" customHeight="1">
      <c r="A8" s="128" t="s">
        <v>48</v>
      </c>
      <c r="B8" s="128" t="s">
        <v>49</v>
      </c>
      <c r="C8" s="129" t="s">
        <v>744</v>
      </c>
      <c r="D8" s="129" t="s">
        <v>745</v>
      </c>
      <c r="E8" s="128" t="s">
        <v>354</v>
      </c>
    </row>
    <row r="9" spans="1:5" ht="15">
      <c r="A9" s="335" t="s">
        <v>15</v>
      </c>
      <c r="B9" s="335" t="s">
        <v>38</v>
      </c>
      <c r="C9" s="336">
        <v>1</v>
      </c>
      <c r="D9" s="336">
        <v>2</v>
      </c>
      <c r="E9" s="335" t="s">
        <v>355</v>
      </c>
    </row>
    <row r="10" spans="1:8" s="123" customFormat="1" ht="26.25" customHeight="1">
      <c r="A10" s="333"/>
      <c r="B10" s="334" t="s">
        <v>356</v>
      </c>
      <c r="C10" s="337">
        <f>SUM(C11:C17)</f>
        <v>670447.54</v>
      </c>
      <c r="D10" s="337">
        <f>SUM(D11:D17)</f>
        <v>751015.446783</v>
      </c>
      <c r="E10" s="338">
        <f>D10/C10%</f>
        <v>112.01703369409037</v>
      </c>
      <c r="G10" s="131"/>
      <c r="H10" s="131"/>
    </row>
    <row r="11" spans="1:5" ht="26.25" customHeight="1">
      <c r="A11" s="248">
        <v>1</v>
      </c>
      <c r="B11" s="249" t="s">
        <v>357</v>
      </c>
      <c r="C11" s="339">
        <v>64243</v>
      </c>
      <c r="D11" s="339">
        <v>81886.23070700001</v>
      </c>
      <c r="E11" s="340">
        <f aca="true" t="shared" si="0" ref="E11:E17">D11/C11%</f>
        <v>127.46327336363497</v>
      </c>
    </row>
    <row r="12" spans="1:5" ht="26.25" customHeight="1">
      <c r="A12" s="248">
        <v>2</v>
      </c>
      <c r="B12" s="249" t="s">
        <v>358</v>
      </c>
      <c r="C12" s="339">
        <v>0</v>
      </c>
      <c r="D12" s="339">
        <v>1321</v>
      </c>
      <c r="E12" s="340"/>
    </row>
    <row r="13" spans="1:5" ht="26.25" customHeight="1">
      <c r="A13" s="248">
        <v>3</v>
      </c>
      <c r="B13" s="249" t="s">
        <v>359</v>
      </c>
      <c r="C13" s="339">
        <v>507948</v>
      </c>
      <c r="D13" s="339">
        <v>552886</v>
      </c>
      <c r="E13" s="340">
        <f t="shared" si="0"/>
        <v>108.84696858733572</v>
      </c>
    </row>
    <row r="14" spans="1:5" ht="26.25" customHeight="1">
      <c r="A14" s="248">
        <v>4</v>
      </c>
      <c r="B14" s="249" t="s">
        <v>360</v>
      </c>
      <c r="C14" s="339">
        <v>14341</v>
      </c>
      <c r="D14" s="339">
        <v>14708</v>
      </c>
      <c r="E14" s="340">
        <f t="shared" si="0"/>
        <v>102.55909629732933</v>
      </c>
    </row>
    <row r="15" spans="1:5" ht="26.25" customHeight="1">
      <c r="A15" s="248">
        <v>5</v>
      </c>
      <c r="B15" s="249" t="s">
        <v>361</v>
      </c>
      <c r="C15" s="339">
        <v>36355.54</v>
      </c>
      <c r="D15" s="339">
        <v>48119.21607600001</v>
      </c>
      <c r="E15" s="340">
        <f t="shared" si="0"/>
        <v>132.35731356486525</v>
      </c>
    </row>
    <row r="16" spans="1:5" ht="26.25" customHeight="1">
      <c r="A16" s="248">
        <v>6</v>
      </c>
      <c r="B16" s="249" t="s">
        <v>409</v>
      </c>
      <c r="C16" s="339">
        <v>8500</v>
      </c>
      <c r="D16" s="339">
        <v>9228</v>
      </c>
      <c r="E16" s="340">
        <f t="shared" si="0"/>
        <v>108.56470588235294</v>
      </c>
    </row>
    <row r="17" spans="1:5" ht="26.25" customHeight="1">
      <c r="A17" s="250">
        <v>7</v>
      </c>
      <c r="B17" s="251" t="s">
        <v>362</v>
      </c>
      <c r="C17" s="341">
        <v>39060</v>
      </c>
      <c r="D17" s="341">
        <v>42867</v>
      </c>
      <c r="E17" s="342">
        <f t="shared" si="0"/>
        <v>109.74654377880184</v>
      </c>
    </row>
    <row r="18" spans="3:5" ht="15.75" customHeight="1">
      <c r="C18" s="518" t="s">
        <v>379</v>
      </c>
      <c r="D18" s="518"/>
      <c r="E18" s="518"/>
    </row>
    <row r="19" spans="2:5" ht="15.75" customHeight="1">
      <c r="B19" s="133" t="s">
        <v>336</v>
      </c>
      <c r="C19" s="516" t="s">
        <v>337</v>
      </c>
      <c r="D19" s="516"/>
      <c r="E19" s="516"/>
    </row>
    <row r="26" spans="2:5" ht="15">
      <c r="B26" s="135" t="s">
        <v>366</v>
      </c>
      <c r="C26" s="515" t="s">
        <v>338</v>
      </c>
      <c r="D26" s="515"/>
      <c r="E26" s="515"/>
    </row>
  </sheetData>
  <sheetProtection/>
  <mergeCells count="8">
    <mergeCell ref="C26:E26"/>
    <mergeCell ref="C19:E19"/>
    <mergeCell ref="C1:E1"/>
    <mergeCell ref="A3:E3"/>
    <mergeCell ref="A4:E4"/>
    <mergeCell ref="A5:E5"/>
    <mergeCell ref="A6:E6"/>
    <mergeCell ref="C18:E18"/>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J1387"/>
  <sheetViews>
    <sheetView workbookViewId="0" topLeftCell="A1339">
      <selection activeCell="A1392" sqref="A1392"/>
    </sheetView>
  </sheetViews>
  <sheetFormatPr defaultColWidth="9.140625" defaultRowHeight="15"/>
  <cols>
    <col min="1" max="1" width="47.8515625" style="428" customWidth="1"/>
    <col min="2" max="2" width="11.00390625" style="450" customWidth="1"/>
    <col min="3" max="3" width="9.8515625" style="450" customWidth="1"/>
    <col min="4" max="4" width="11.8515625" style="450" customWidth="1"/>
    <col min="5" max="5" width="11.57421875" style="450" customWidth="1"/>
    <col min="6" max="6" width="12.28125" style="450" customWidth="1"/>
    <col min="7" max="7" width="20.57421875" style="428" customWidth="1"/>
    <col min="8" max="8" width="0.13671875" style="428" customWidth="1"/>
    <col min="9" max="9" width="0.5625" style="428" customWidth="1"/>
    <col min="10" max="16384" width="9.140625" style="428" customWidth="1"/>
  </cols>
  <sheetData>
    <row r="1" spans="1:10" ht="18" customHeight="1">
      <c r="A1" s="498" t="s">
        <v>169</v>
      </c>
      <c r="B1" s="498"/>
      <c r="C1" s="205"/>
      <c r="D1" s="499" t="s">
        <v>289</v>
      </c>
      <c r="E1" s="499"/>
      <c r="F1" s="499"/>
      <c r="G1" s="499"/>
      <c r="H1" s="424"/>
      <c r="I1" s="424"/>
      <c r="J1" s="424"/>
    </row>
    <row r="2" spans="1:8" ht="0.75" customHeight="1">
      <c r="A2" s="429"/>
      <c r="B2" s="429"/>
      <c r="C2" s="429"/>
      <c r="D2" s="429"/>
      <c r="E2" s="429"/>
      <c r="F2" s="429"/>
      <c r="G2" s="429"/>
      <c r="H2" s="429"/>
    </row>
    <row r="3" spans="1:8" ht="21" customHeight="1">
      <c r="A3" s="527" t="s">
        <v>380</v>
      </c>
      <c r="B3" s="527"/>
      <c r="C3" s="527"/>
      <c r="D3" s="527"/>
      <c r="E3" s="527"/>
      <c r="F3" s="527"/>
      <c r="G3" s="527"/>
      <c r="H3" s="527"/>
    </row>
    <row r="4" spans="1:8" ht="24" customHeight="1">
      <c r="A4" s="528" t="str">
        <f>'60'!A3:L3</f>
        <v>(Kèm theo Báo cáo số  571 /BC-UBND ngày  10  tháng 11 năm 2023 của Ủy ban nhân dân tỉnh)</v>
      </c>
      <c r="B4" s="528"/>
      <c r="C4" s="528"/>
      <c r="D4" s="528"/>
      <c r="E4" s="528"/>
      <c r="F4" s="528"/>
      <c r="G4" s="528"/>
      <c r="H4" s="528"/>
    </row>
    <row r="5" spans="1:8" ht="20.25" customHeight="1">
      <c r="A5" s="429"/>
      <c r="B5" s="429"/>
      <c r="C5" s="429"/>
      <c r="D5" s="429"/>
      <c r="E5" s="429"/>
      <c r="F5" s="429"/>
      <c r="G5" s="430" t="s">
        <v>281</v>
      </c>
      <c r="H5" s="429"/>
    </row>
    <row r="6" spans="1:8" ht="3" customHeight="1">
      <c r="A6" s="431"/>
      <c r="B6" s="431"/>
      <c r="C6" s="431"/>
      <c r="D6" s="431"/>
      <c r="E6" s="431"/>
      <c r="F6" s="431"/>
      <c r="G6" s="431"/>
      <c r="H6" s="431"/>
    </row>
    <row r="7" spans="1:8" ht="37.5" customHeight="1">
      <c r="A7" s="432" t="s">
        <v>282</v>
      </c>
      <c r="B7" s="432" t="s">
        <v>283</v>
      </c>
      <c r="C7" s="432" t="s">
        <v>284</v>
      </c>
      <c r="D7" s="432" t="s">
        <v>285</v>
      </c>
      <c r="E7" s="432" t="s">
        <v>286</v>
      </c>
      <c r="F7" s="432" t="s">
        <v>287</v>
      </c>
      <c r="G7" s="432" t="s">
        <v>288</v>
      </c>
      <c r="H7" s="431"/>
    </row>
    <row r="8" spans="1:8" s="436" customFormat="1" ht="20.25" customHeight="1">
      <c r="A8" s="433" t="s">
        <v>180</v>
      </c>
      <c r="B8" s="433"/>
      <c r="C8" s="433"/>
      <c r="D8" s="433"/>
      <c r="E8" s="433"/>
      <c r="F8" s="433"/>
      <c r="G8" s="434">
        <v>717403176564</v>
      </c>
      <c r="H8" s="435"/>
    </row>
    <row r="9" spans="1:8" ht="13.5" customHeight="1">
      <c r="A9" s="519" t="s">
        <v>746</v>
      </c>
      <c r="B9" s="520" t="s">
        <v>496</v>
      </c>
      <c r="C9" s="520" t="s">
        <v>497</v>
      </c>
      <c r="D9" s="520" t="s">
        <v>498</v>
      </c>
      <c r="E9" s="438" t="s">
        <v>499</v>
      </c>
      <c r="F9" s="438" t="s">
        <v>500</v>
      </c>
      <c r="G9" s="439">
        <v>600000</v>
      </c>
      <c r="H9" s="431"/>
    </row>
    <row r="10" spans="1:8" ht="13.5" customHeight="1">
      <c r="A10" s="519"/>
      <c r="B10" s="520"/>
      <c r="C10" s="520"/>
      <c r="D10" s="520"/>
      <c r="E10" s="520" t="s">
        <v>501</v>
      </c>
      <c r="F10" s="438" t="s">
        <v>502</v>
      </c>
      <c r="G10" s="439">
        <v>698000</v>
      </c>
      <c r="H10" s="431"/>
    </row>
    <row r="11" spans="1:8" ht="13.5" customHeight="1">
      <c r="A11" s="519"/>
      <c r="B11" s="520"/>
      <c r="C11" s="520"/>
      <c r="D11" s="520"/>
      <c r="E11" s="520"/>
      <c r="F11" s="438" t="s">
        <v>503</v>
      </c>
      <c r="G11" s="439">
        <v>275702000</v>
      </c>
      <c r="H11" s="431"/>
    </row>
    <row r="12" spans="1:8" ht="20.25" customHeight="1">
      <c r="A12" s="519"/>
      <c r="B12" s="438" t="s">
        <v>504</v>
      </c>
      <c r="C12" s="438" t="s">
        <v>497</v>
      </c>
      <c r="D12" s="438" t="s">
        <v>498</v>
      </c>
      <c r="E12" s="438" t="s">
        <v>505</v>
      </c>
      <c r="F12" s="438" t="s">
        <v>506</v>
      </c>
      <c r="G12" s="439">
        <v>410700000</v>
      </c>
      <c r="H12" s="431"/>
    </row>
    <row r="13" spans="1:8" ht="25.5" customHeight="1">
      <c r="A13" s="437" t="s">
        <v>507</v>
      </c>
      <c r="B13" s="438" t="s">
        <v>508</v>
      </c>
      <c r="C13" s="438" t="s">
        <v>497</v>
      </c>
      <c r="D13" s="438" t="s">
        <v>509</v>
      </c>
      <c r="E13" s="438" t="s">
        <v>510</v>
      </c>
      <c r="F13" s="438" t="s">
        <v>511</v>
      </c>
      <c r="G13" s="439">
        <v>269317000</v>
      </c>
      <c r="H13" s="431"/>
    </row>
    <row r="14" spans="1:8" ht="13.5" customHeight="1">
      <c r="A14" s="519" t="s">
        <v>512</v>
      </c>
      <c r="B14" s="438" t="s">
        <v>513</v>
      </c>
      <c r="C14" s="438" t="s">
        <v>514</v>
      </c>
      <c r="D14" s="438" t="s">
        <v>515</v>
      </c>
      <c r="E14" s="438" t="s">
        <v>516</v>
      </c>
      <c r="F14" s="438" t="s">
        <v>517</v>
      </c>
      <c r="G14" s="439">
        <v>290000000</v>
      </c>
      <c r="H14" s="431"/>
    </row>
    <row r="15" spans="1:8" ht="13.5" customHeight="1" hidden="1">
      <c r="A15" s="519"/>
      <c r="B15" s="520" t="s">
        <v>518</v>
      </c>
      <c r="C15" s="520" t="s">
        <v>519</v>
      </c>
      <c r="D15" s="520" t="s">
        <v>520</v>
      </c>
      <c r="E15" s="438" t="s">
        <v>521</v>
      </c>
      <c r="F15" s="438" t="s">
        <v>522</v>
      </c>
      <c r="G15" s="439">
        <v>0</v>
      </c>
      <c r="H15" s="431"/>
    </row>
    <row r="16" spans="1:8" ht="13.5" customHeight="1">
      <c r="A16" s="519"/>
      <c r="B16" s="520"/>
      <c r="C16" s="520"/>
      <c r="D16" s="520"/>
      <c r="E16" s="438" t="s">
        <v>516</v>
      </c>
      <c r="F16" s="438" t="s">
        <v>517</v>
      </c>
      <c r="G16" s="439">
        <v>455092000</v>
      </c>
      <c r="H16" s="431"/>
    </row>
    <row r="17" spans="1:8" ht="13.5" customHeight="1">
      <c r="A17" s="519"/>
      <c r="B17" s="520"/>
      <c r="C17" s="520"/>
      <c r="D17" s="520"/>
      <c r="E17" s="520" t="s">
        <v>523</v>
      </c>
      <c r="F17" s="438" t="s">
        <v>524</v>
      </c>
      <c r="G17" s="439">
        <v>44908000</v>
      </c>
      <c r="H17" s="431"/>
    </row>
    <row r="18" spans="1:8" ht="13.5" customHeight="1" hidden="1">
      <c r="A18" s="519"/>
      <c r="B18" s="520"/>
      <c r="C18" s="520"/>
      <c r="D18" s="520"/>
      <c r="E18" s="520"/>
      <c r="F18" s="438" t="s">
        <v>525</v>
      </c>
      <c r="G18" s="439">
        <v>0</v>
      </c>
      <c r="H18" s="431"/>
    </row>
    <row r="19" spans="1:8" ht="13.5" customHeight="1" hidden="1">
      <c r="A19" s="519"/>
      <c r="B19" s="520"/>
      <c r="C19" s="520"/>
      <c r="D19" s="520" t="s">
        <v>526</v>
      </c>
      <c r="E19" s="438" t="s">
        <v>516</v>
      </c>
      <c r="F19" s="438" t="s">
        <v>517</v>
      </c>
      <c r="G19" s="439">
        <v>0</v>
      </c>
      <c r="H19" s="431"/>
    </row>
    <row r="20" spans="1:8" ht="13.5" customHeight="1" hidden="1">
      <c r="A20" s="519"/>
      <c r="B20" s="520"/>
      <c r="C20" s="520"/>
      <c r="D20" s="520"/>
      <c r="E20" s="520" t="s">
        <v>523</v>
      </c>
      <c r="F20" s="438" t="s">
        <v>527</v>
      </c>
      <c r="G20" s="439">
        <v>0</v>
      </c>
      <c r="H20" s="431"/>
    </row>
    <row r="21" spans="1:8" ht="14.25" customHeight="1" hidden="1">
      <c r="A21" s="519"/>
      <c r="B21" s="520"/>
      <c r="C21" s="520"/>
      <c r="D21" s="520"/>
      <c r="E21" s="520"/>
      <c r="F21" s="438" t="s">
        <v>524</v>
      </c>
      <c r="G21" s="439">
        <v>0</v>
      </c>
      <c r="H21" s="431"/>
    </row>
    <row r="22" spans="1:8" ht="45" customHeight="1" hidden="1">
      <c r="A22" s="519"/>
      <c r="B22" s="520"/>
      <c r="C22" s="520"/>
      <c r="D22" s="520"/>
      <c r="E22" s="520"/>
      <c r="F22" s="438" t="s">
        <v>525</v>
      </c>
      <c r="G22" s="439">
        <v>0</v>
      </c>
      <c r="H22" s="431"/>
    </row>
    <row r="23" spans="1:8" ht="13.5" customHeight="1" hidden="1">
      <c r="A23" s="519"/>
      <c r="B23" s="520"/>
      <c r="C23" s="520"/>
      <c r="D23" s="520" t="s">
        <v>528</v>
      </c>
      <c r="E23" s="438" t="s">
        <v>516</v>
      </c>
      <c r="F23" s="438" t="s">
        <v>517</v>
      </c>
      <c r="G23" s="439">
        <v>0</v>
      </c>
      <c r="H23" s="431"/>
    </row>
    <row r="24" spans="1:8" ht="57" customHeight="1" hidden="1">
      <c r="A24" s="519"/>
      <c r="B24" s="520"/>
      <c r="C24" s="520"/>
      <c r="D24" s="520"/>
      <c r="E24" s="520" t="s">
        <v>523</v>
      </c>
      <c r="F24" s="438" t="s">
        <v>524</v>
      </c>
      <c r="G24" s="439">
        <v>0</v>
      </c>
      <c r="H24" s="431"/>
    </row>
    <row r="25" spans="1:8" ht="13.5" customHeight="1" hidden="1">
      <c r="A25" s="519"/>
      <c r="B25" s="520"/>
      <c r="C25" s="520"/>
      <c r="D25" s="520"/>
      <c r="E25" s="520"/>
      <c r="F25" s="438" t="s">
        <v>525</v>
      </c>
      <c r="G25" s="439">
        <v>0</v>
      </c>
      <c r="H25" s="431"/>
    </row>
    <row r="26" spans="1:8" ht="13.5" customHeight="1" hidden="1">
      <c r="A26" s="519"/>
      <c r="B26" s="520"/>
      <c r="C26" s="520" t="s">
        <v>529</v>
      </c>
      <c r="D26" s="520" t="s">
        <v>530</v>
      </c>
      <c r="E26" s="438" t="s">
        <v>521</v>
      </c>
      <c r="F26" s="438" t="s">
        <v>522</v>
      </c>
      <c r="G26" s="439">
        <v>0</v>
      </c>
      <c r="H26" s="431"/>
    </row>
    <row r="27" spans="1:8" ht="13.5" customHeight="1" hidden="1">
      <c r="A27" s="519"/>
      <c r="B27" s="520"/>
      <c r="C27" s="520"/>
      <c r="D27" s="520"/>
      <c r="E27" s="438" t="s">
        <v>516</v>
      </c>
      <c r="F27" s="438" t="s">
        <v>517</v>
      </c>
      <c r="G27" s="439">
        <v>0</v>
      </c>
      <c r="H27" s="431"/>
    </row>
    <row r="28" spans="1:8" ht="13.5" customHeight="1" hidden="1">
      <c r="A28" s="519"/>
      <c r="B28" s="520"/>
      <c r="C28" s="520"/>
      <c r="D28" s="520"/>
      <c r="E28" s="520" t="s">
        <v>523</v>
      </c>
      <c r="F28" s="438" t="s">
        <v>527</v>
      </c>
      <c r="G28" s="439">
        <v>0</v>
      </c>
      <c r="H28" s="431"/>
    </row>
    <row r="29" spans="1:8" ht="13.5" customHeight="1" hidden="1">
      <c r="A29" s="519"/>
      <c r="B29" s="520"/>
      <c r="C29" s="520"/>
      <c r="D29" s="520"/>
      <c r="E29" s="520"/>
      <c r="F29" s="438" t="s">
        <v>524</v>
      </c>
      <c r="G29" s="439">
        <v>0</v>
      </c>
      <c r="H29" s="431"/>
    </row>
    <row r="30" spans="1:8" ht="13.5" customHeight="1" hidden="1">
      <c r="A30" s="519"/>
      <c r="B30" s="520"/>
      <c r="C30" s="520"/>
      <c r="D30" s="520"/>
      <c r="E30" s="520"/>
      <c r="F30" s="438" t="s">
        <v>525</v>
      </c>
      <c r="G30" s="439">
        <v>0</v>
      </c>
      <c r="H30" s="431"/>
    </row>
    <row r="31" spans="1:8" ht="13.5" customHeight="1">
      <c r="A31" s="519"/>
      <c r="B31" s="520"/>
      <c r="C31" s="520" t="s">
        <v>497</v>
      </c>
      <c r="D31" s="520" t="s">
        <v>531</v>
      </c>
      <c r="E31" s="438" t="s">
        <v>516</v>
      </c>
      <c r="F31" s="438" t="s">
        <v>517</v>
      </c>
      <c r="G31" s="439">
        <v>822000000</v>
      </c>
      <c r="H31" s="431"/>
    </row>
    <row r="32" spans="1:8" ht="13.5" customHeight="1">
      <c r="A32" s="519"/>
      <c r="B32" s="520"/>
      <c r="C32" s="520"/>
      <c r="D32" s="520"/>
      <c r="E32" s="520" t="s">
        <v>523</v>
      </c>
      <c r="F32" s="438" t="s">
        <v>527</v>
      </c>
      <c r="G32" s="439">
        <v>15900000</v>
      </c>
      <c r="H32" s="431"/>
    </row>
    <row r="33" spans="1:8" ht="13.5" customHeight="1">
      <c r="A33" s="519"/>
      <c r="B33" s="520"/>
      <c r="C33" s="520"/>
      <c r="D33" s="520"/>
      <c r="E33" s="520"/>
      <c r="F33" s="438" t="s">
        <v>524</v>
      </c>
      <c r="G33" s="439">
        <v>127100000</v>
      </c>
      <c r="H33" s="431"/>
    </row>
    <row r="34" spans="1:8" ht="13.5" customHeight="1">
      <c r="A34" s="519"/>
      <c r="B34" s="520"/>
      <c r="C34" s="520"/>
      <c r="D34" s="520" t="s">
        <v>532</v>
      </c>
      <c r="E34" s="438" t="s">
        <v>516</v>
      </c>
      <c r="F34" s="438" t="s">
        <v>517</v>
      </c>
      <c r="G34" s="439">
        <v>886828000</v>
      </c>
      <c r="H34" s="431"/>
    </row>
    <row r="35" spans="1:8" ht="13.5" customHeight="1" hidden="1">
      <c r="A35" s="519"/>
      <c r="B35" s="520"/>
      <c r="C35" s="520"/>
      <c r="D35" s="520"/>
      <c r="E35" s="520" t="s">
        <v>523</v>
      </c>
      <c r="F35" s="438" t="s">
        <v>527</v>
      </c>
      <c r="G35" s="439">
        <v>0</v>
      </c>
      <c r="H35" s="431"/>
    </row>
    <row r="36" spans="1:8" ht="13.5" customHeight="1" hidden="1">
      <c r="A36" s="519"/>
      <c r="B36" s="520"/>
      <c r="C36" s="520"/>
      <c r="D36" s="520"/>
      <c r="E36" s="520"/>
      <c r="F36" s="438" t="s">
        <v>524</v>
      </c>
      <c r="G36" s="439">
        <v>0</v>
      </c>
      <c r="H36" s="431"/>
    </row>
    <row r="37" spans="1:8" ht="13.5" customHeight="1" hidden="1">
      <c r="A37" s="519"/>
      <c r="B37" s="520"/>
      <c r="C37" s="520"/>
      <c r="D37" s="520" t="s">
        <v>533</v>
      </c>
      <c r="E37" s="438" t="s">
        <v>516</v>
      </c>
      <c r="F37" s="438" t="s">
        <v>517</v>
      </c>
      <c r="G37" s="439">
        <v>0</v>
      </c>
      <c r="H37" s="431"/>
    </row>
    <row r="38" spans="1:8" ht="13.5" customHeight="1" hidden="1">
      <c r="A38" s="519"/>
      <c r="B38" s="520"/>
      <c r="C38" s="520"/>
      <c r="D38" s="520"/>
      <c r="E38" s="438" t="s">
        <v>523</v>
      </c>
      <c r="F38" s="438" t="s">
        <v>525</v>
      </c>
      <c r="G38" s="439">
        <v>0</v>
      </c>
      <c r="H38" s="431"/>
    </row>
    <row r="39" spans="1:8" ht="13.5" customHeight="1">
      <c r="A39" s="519"/>
      <c r="B39" s="520"/>
      <c r="C39" s="520"/>
      <c r="D39" s="438" t="s">
        <v>534</v>
      </c>
      <c r="E39" s="438" t="s">
        <v>516</v>
      </c>
      <c r="F39" s="438" t="s">
        <v>517</v>
      </c>
      <c r="G39" s="439">
        <v>750000000</v>
      </c>
      <c r="H39" s="431"/>
    </row>
    <row r="40" spans="1:8" ht="30.75" customHeight="1">
      <c r="A40" s="519" t="s">
        <v>747</v>
      </c>
      <c r="B40" s="438" t="s">
        <v>535</v>
      </c>
      <c r="C40" s="438" t="s">
        <v>536</v>
      </c>
      <c r="D40" s="438" t="s">
        <v>537</v>
      </c>
      <c r="E40" s="438" t="s">
        <v>501</v>
      </c>
      <c r="F40" s="438" t="s">
        <v>538</v>
      </c>
      <c r="G40" s="439">
        <v>680000000</v>
      </c>
      <c r="H40" s="431"/>
    </row>
    <row r="41" spans="1:8" ht="13.5" customHeight="1" hidden="1">
      <c r="A41" s="519"/>
      <c r="B41" s="520" t="s">
        <v>496</v>
      </c>
      <c r="C41" s="520" t="s">
        <v>497</v>
      </c>
      <c r="D41" s="520" t="s">
        <v>498</v>
      </c>
      <c r="E41" s="438" t="s">
        <v>539</v>
      </c>
      <c r="F41" s="438" t="s">
        <v>540</v>
      </c>
      <c r="G41" s="439">
        <v>0</v>
      </c>
      <c r="H41" s="431"/>
    </row>
    <row r="42" spans="1:8" ht="13.5" customHeight="1" hidden="1">
      <c r="A42" s="519"/>
      <c r="B42" s="520"/>
      <c r="C42" s="520"/>
      <c r="D42" s="520"/>
      <c r="E42" s="438" t="s">
        <v>499</v>
      </c>
      <c r="F42" s="438" t="s">
        <v>541</v>
      </c>
      <c r="G42" s="439">
        <v>0</v>
      </c>
      <c r="H42" s="431"/>
    </row>
    <row r="43" spans="1:8" ht="13.5" customHeight="1" hidden="1">
      <c r="A43" s="519"/>
      <c r="B43" s="520"/>
      <c r="C43" s="520"/>
      <c r="D43" s="520"/>
      <c r="E43" s="520" t="s">
        <v>501</v>
      </c>
      <c r="F43" s="438" t="s">
        <v>502</v>
      </c>
      <c r="G43" s="439">
        <v>0</v>
      </c>
      <c r="H43" s="431"/>
    </row>
    <row r="44" spans="1:8" ht="13.5" customHeight="1" hidden="1">
      <c r="A44" s="519"/>
      <c r="B44" s="520"/>
      <c r="C44" s="520"/>
      <c r="D44" s="520"/>
      <c r="E44" s="520"/>
      <c r="F44" s="438" t="s">
        <v>503</v>
      </c>
      <c r="G44" s="439">
        <v>0</v>
      </c>
      <c r="H44" s="431"/>
    </row>
    <row r="45" spans="1:8" ht="27" customHeight="1">
      <c r="A45" s="519"/>
      <c r="B45" s="438" t="s">
        <v>508</v>
      </c>
      <c r="C45" s="438" t="s">
        <v>497</v>
      </c>
      <c r="D45" s="438" t="s">
        <v>542</v>
      </c>
      <c r="E45" s="438" t="s">
        <v>543</v>
      </c>
      <c r="F45" s="438" t="s">
        <v>544</v>
      </c>
      <c r="G45" s="439">
        <v>2640000</v>
      </c>
      <c r="H45" s="431"/>
    </row>
    <row r="46" spans="1:8" ht="30" customHeight="1" hidden="1">
      <c r="A46" s="437" t="s">
        <v>545</v>
      </c>
      <c r="B46" s="438"/>
      <c r="C46" s="438"/>
      <c r="D46" s="438"/>
      <c r="E46" s="438"/>
      <c r="F46" s="438"/>
      <c r="G46" s="439"/>
      <c r="H46" s="431"/>
    </row>
    <row r="47" spans="1:8" ht="13.5" customHeight="1">
      <c r="A47" s="519" t="s">
        <v>549</v>
      </c>
      <c r="B47" s="520" t="s">
        <v>513</v>
      </c>
      <c r="C47" s="520" t="s">
        <v>519</v>
      </c>
      <c r="D47" s="520" t="s">
        <v>520</v>
      </c>
      <c r="E47" s="438" t="s">
        <v>516</v>
      </c>
      <c r="F47" s="438" t="s">
        <v>517</v>
      </c>
      <c r="G47" s="439">
        <v>266728000</v>
      </c>
      <c r="H47" s="431"/>
    </row>
    <row r="48" spans="1:8" ht="13.5" customHeight="1">
      <c r="A48" s="519"/>
      <c r="B48" s="520"/>
      <c r="C48" s="520"/>
      <c r="D48" s="520"/>
      <c r="E48" s="438" t="s">
        <v>523</v>
      </c>
      <c r="F48" s="438" t="s">
        <v>524</v>
      </c>
      <c r="G48" s="439">
        <v>42272000</v>
      </c>
      <c r="H48" s="431"/>
    </row>
    <row r="49" spans="1:8" ht="13.5" customHeight="1">
      <c r="A49" s="519"/>
      <c r="B49" s="520"/>
      <c r="C49" s="520"/>
      <c r="D49" s="520" t="s">
        <v>526</v>
      </c>
      <c r="E49" s="438" t="s">
        <v>516</v>
      </c>
      <c r="F49" s="438" t="s">
        <v>517</v>
      </c>
      <c r="G49" s="439">
        <v>2406518000</v>
      </c>
      <c r="H49" s="431"/>
    </row>
    <row r="50" spans="1:8" ht="13.5" customHeight="1">
      <c r="A50" s="519"/>
      <c r="B50" s="520"/>
      <c r="C50" s="520"/>
      <c r="D50" s="520"/>
      <c r="E50" s="438" t="s">
        <v>523</v>
      </c>
      <c r="F50" s="438" t="s">
        <v>524</v>
      </c>
      <c r="G50" s="439">
        <v>794517000</v>
      </c>
      <c r="H50" s="431"/>
    </row>
    <row r="51" spans="1:8" ht="13.5" customHeight="1">
      <c r="A51" s="519"/>
      <c r="B51" s="520"/>
      <c r="C51" s="520"/>
      <c r="D51" s="520" t="s">
        <v>528</v>
      </c>
      <c r="E51" s="438" t="s">
        <v>516</v>
      </c>
      <c r="F51" s="438" t="s">
        <v>517</v>
      </c>
      <c r="G51" s="439">
        <v>7939520500</v>
      </c>
      <c r="H51" s="431"/>
    </row>
    <row r="52" spans="1:8" ht="13.5" customHeight="1">
      <c r="A52" s="519"/>
      <c r="B52" s="520"/>
      <c r="C52" s="520"/>
      <c r="D52" s="520"/>
      <c r="E52" s="438" t="s">
        <v>523</v>
      </c>
      <c r="F52" s="438" t="s">
        <v>524</v>
      </c>
      <c r="G52" s="439">
        <v>1095994000</v>
      </c>
      <c r="H52" s="431"/>
    </row>
    <row r="53" spans="1:8" ht="13.5" customHeight="1">
      <c r="A53" s="519"/>
      <c r="B53" s="520"/>
      <c r="C53" s="520" t="s">
        <v>550</v>
      </c>
      <c r="D53" s="520" t="s">
        <v>551</v>
      </c>
      <c r="E53" s="438" t="s">
        <v>516</v>
      </c>
      <c r="F53" s="438" t="s">
        <v>517</v>
      </c>
      <c r="G53" s="439">
        <v>530361999.99999994</v>
      </c>
      <c r="H53" s="431"/>
    </row>
    <row r="54" spans="1:8" ht="13.5" customHeight="1">
      <c r="A54" s="519"/>
      <c r="B54" s="520"/>
      <c r="C54" s="520"/>
      <c r="D54" s="520"/>
      <c r="E54" s="520" t="s">
        <v>523</v>
      </c>
      <c r="F54" s="438" t="s">
        <v>527</v>
      </c>
      <c r="G54" s="439">
        <v>16802000</v>
      </c>
      <c r="H54" s="431"/>
    </row>
    <row r="55" spans="1:8" ht="13.5" customHeight="1">
      <c r="A55" s="519"/>
      <c r="B55" s="520"/>
      <c r="C55" s="520"/>
      <c r="D55" s="520"/>
      <c r="E55" s="520"/>
      <c r="F55" s="438" t="s">
        <v>524</v>
      </c>
      <c r="G55" s="439">
        <v>38157000</v>
      </c>
      <c r="H55" s="431"/>
    </row>
    <row r="56" spans="1:8" ht="13.5" customHeight="1">
      <c r="A56" s="519"/>
      <c r="B56" s="520"/>
      <c r="C56" s="520"/>
      <c r="D56" s="520"/>
      <c r="E56" s="520"/>
      <c r="F56" s="438" t="s">
        <v>525</v>
      </c>
      <c r="G56" s="439">
        <v>3431000</v>
      </c>
      <c r="H56" s="431"/>
    </row>
    <row r="57" spans="1:8" ht="13.5" customHeight="1">
      <c r="A57" s="519"/>
      <c r="B57" s="520"/>
      <c r="C57" s="520" t="s">
        <v>497</v>
      </c>
      <c r="D57" s="520" t="s">
        <v>531</v>
      </c>
      <c r="E57" s="438" t="s">
        <v>516</v>
      </c>
      <c r="F57" s="438" t="s">
        <v>517</v>
      </c>
      <c r="G57" s="439">
        <v>3541810000</v>
      </c>
      <c r="H57" s="431"/>
    </row>
    <row r="58" spans="1:8" ht="13.5" customHeight="1">
      <c r="A58" s="519"/>
      <c r="B58" s="520"/>
      <c r="C58" s="520"/>
      <c r="D58" s="520"/>
      <c r="E58" s="520" t="s">
        <v>523</v>
      </c>
      <c r="F58" s="438" t="s">
        <v>527</v>
      </c>
      <c r="G58" s="439">
        <v>89847000</v>
      </c>
      <c r="H58" s="431"/>
    </row>
    <row r="59" spans="1:8" ht="18.75" customHeight="1">
      <c r="A59" s="519"/>
      <c r="B59" s="520"/>
      <c r="C59" s="520"/>
      <c r="D59" s="520"/>
      <c r="E59" s="520"/>
      <c r="F59" s="438" t="s">
        <v>524</v>
      </c>
      <c r="G59" s="439">
        <v>203656000</v>
      </c>
      <c r="H59" s="431"/>
    </row>
    <row r="60" spans="1:8" ht="13.5" customHeight="1">
      <c r="A60" s="519"/>
      <c r="B60" s="520"/>
      <c r="C60" s="520"/>
      <c r="D60" s="520"/>
      <c r="E60" s="520"/>
      <c r="F60" s="438" t="s">
        <v>525</v>
      </c>
      <c r="G60" s="439">
        <v>22548000</v>
      </c>
      <c r="H60" s="431"/>
    </row>
    <row r="61" spans="1:8" ht="13.5" customHeight="1">
      <c r="A61" s="519"/>
      <c r="B61" s="520"/>
      <c r="C61" s="520"/>
      <c r="D61" s="520" t="s">
        <v>532</v>
      </c>
      <c r="E61" s="438" t="s">
        <v>516</v>
      </c>
      <c r="F61" s="438" t="s">
        <v>517</v>
      </c>
      <c r="G61" s="439">
        <v>17685160000</v>
      </c>
      <c r="H61" s="431"/>
    </row>
    <row r="62" spans="1:8" ht="13.5" customHeight="1">
      <c r="A62" s="519"/>
      <c r="B62" s="520"/>
      <c r="C62" s="520"/>
      <c r="D62" s="520"/>
      <c r="E62" s="520" t="s">
        <v>523</v>
      </c>
      <c r="F62" s="438" t="s">
        <v>527</v>
      </c>
      <c r="G62" s="439">
        <v>111151000</v>
      </c>
      <c r="H62" s="431"/>
    </row>
    <row r="63" spans="1:8" ht="13.5" customHeight="1">
      <c r="A63" s="519"/>
      <c r="B63" s="520"/>
      <c r="C63" s="520"/>
      <c r="D63" s="520"/>
      <c r="E63" s="520"/>
      <c r="F63" s="438" t="s">
        <v>524</v>
      </c>
      <c r="G63" s="439">
        <v>2562375000</v>
      </c>
      <c r="H63" s="431"/>
    </row>
    <row r="64" spans="1:8" ht="13.5" customHeight="1">
      <c r="A64" s="519"/>
      <c r="B64" s="520"/>
      <c r="C64" s="520"/>
      <c r="D64" s="520"/>
      <c r="E64" s="520"/>
      <c r="F64" s="438" t="s">
        <v>525</v>
      </c>
      <c r="G64" s="439">
        <v>7934000</v>
      </c>
      <c r="H64" s="431"/>
    </row>
    <row r="65" spans="1:8" ht="13.5" customHeight="1">
      <c r="A65" s="519"/>
      <c r="B65" s="520"/>
      <c r="C65" s="520"/>
      <c r="D65" s="520" t="s">
        <v>533</v>
      </c>
      <c r="E65" s="438" t="s">
        <v>516</v>
      </c>
      <c r="F65" s="438" t="s">
        <v>517</v>
      </c>
      <c r="G65" s="439">
        <v>2652856000</v>
      </c>
      <c r="H65" s="431"/>
    </row>
    <row r="66" spans="1:8" ht="13.5" customHeight="1">
      <c r="A66" s="519"/>
      <c r="B66" s="520"/>
      <c r="C66" s="520"/>
      <c r="D66" s="520"/>
      <c r="E66" s="438" t="s">
        <v>523</v>
      </c>
      <c r="F66" s="438" t="s">
        <v>524</v>
      </c>
      <c r="G66" s="439">
        <v>356244000</v>
      </c>
      <c r="H66" s="431"/>
    </row>
    <row r="67" spans="1:8" ht="13.5" customHeight="1" hidden="1">
      <c r="A67" s="519"/>
      <c r="B67" s="520"/>
      <c r="C67" s="520" t="s">
        <v>514</v>
      </c>
      <c r="D67" s="520" t="s">
        <v>515</v>
      </c>
      <c r="E67" s="438" t="s">
        <v>516</v>
      </c>
      <c r="F67" s="438" t="s">
        <v>517</v>
      </c>
      <c r="G67" s="439">
        <v>0</v>
      </c>
      <c r="H67" s="431"/>
    </row>
    <row r="68" spans="1:8" ht="13.5" customHeight="1">
      <c r="A68" s="519"/>
      <c r="B68" s="520"/>
      <c r="C68" s="520"/>
      <c r="D68" s="520"/>
      <c r="E68" s="438" t="s">
        <v>523</v>
      </c>
      <c r="F68" s="438" t="s">
        <v>524</v>
      </c>
      <c r="G68" s="439">
        <v>66000000</v>
      </c>
      <c r="H68" s="431"/>
    </row>
    <row r="69" spans="1:8" ht="13.5" customHeight="1">
      <c r="A69" s="519"/>
      <c r="B69" s="438" t="s">
        <v>552</v>
      </c>
      <c r="C69" s="438" t="s">
        <v>497</v>
      </c>
      <c r="D69" s="438" t="s">
        <v>532</v>
      </c>
      <c r="E69" s="438" t="s">
        <v>553</v>
      </c>
      <c r="F69" s="438" t="s">
        <v>554</v>
      </c>
      <c r="G69" s="439">
        <v>2103454499.9999998</v>
      </c>
      <c r="H69" s="431"/>
    </row>
    <row r="70" spans="1:8" ht="13.5" customHeight="1">
      <c r="A70" s="519"/>
      <c r="B70" s="520" t="s">
        <v>518</v>
      </c>
      <c r="C70" s="520" t="s">
        <v>519</v>
      </c>
      <c r="D70" s="520" t="s">
        <v>520</v>
      </c>
      <c r="E70" s="438" t="s">
        <v>516</v>
      </c>
      <c r="F70" s="438" t="s">
        <v>517</v>
      </c>
      <c r="G70" s="439">
        <v>5883199000</v>
      </c>
      <c r="H70" s="431"/>
    </row>
    <row r="71" spans="1:8" ht="13.5" customHeight="1">
      <c r="A71" s="519"/>
      <c r="B71" s="520"/>
      <c r="C71" s="520"/>
      <c r="D71" s="520"/>
      <c r="E71" s="438" t="s">
        <v>523</v>
      </c>
      <c r="F71" s="438" t="s">
        <v>524</v>
      </c>
      <c r="G71" s="439">
        <v>116801000</v>
      </c>
      <c r="H71" s="431"/>
    </row>
    <row r="72" spans="1:8" ht="13.5" customHeight="1">
      <c r="A72" s="519"/>
      <c r="B72" s="520"/>
      <c r="C72" s="520"/>
      <c r="D72" s="520" t="s">
        <v>526</v>
      </c>
      <c r="E72" s="438" t="s">
        <v>516</v>
      </c>
      <c r="F72" s="438" t="s">
        <v>517</v>
      </c>
      <c r="G72" s="439">
        <v>3469209000</v>
      </c>
      <c r="H72" s="431"/>
    </row>
    <row r="73" spans="1:8" ht="13.5" customHeight="1">
      <c r="A73" s="519"/>
      <c r="B73" s="520"/>
      <c r="C73" s="520"/>
      <c r="D73" s="520"/>
      <c r="E73" s="438" t="s">
        <v>523</v>
      </c>
      <c r="F73" s="438" t="s">
        <v>524</v>
      </c>
      <c r="G73" s="439">
        <v>30791000</v>
      </c>
      <c r="H73" s="431"/>
    </row>
    <row r="74" spans="1:8" ht="13.5" customHeight="1">
      <c r="A74" s="519"/>
      <c r="B74" s="520"/>
      <c r="C74" s="520"/>
      <c r="D74" s="520" t="s">
        <v>528</v>
      </c>
      <c r="E74" s="438" t="s">
        <v>516</v>
      </c>
      <c r="F74" s="438" t="s">
        <v>517</v>
      </c>
      <c r="G74" s="439">
        <v>10500615000</v>
      </c>
      <c r="H74" s="431"/>
    </row>
    <row r="75" spans="1:8" ht="13.5" customHeight="1">
      <c r="A75" s="519"/>
      <c r="B75" s="520"/>
      <c r="C75" s="520"/>
      <c r="D75" s="520"/>
      <c r="E75" s="520" t="s">
        <v>523</v>
      </c>
      <c r="F75" s="438" t="s">
        <v>524</v>
      </c>
      <c r="G75" s="439">
        <v>551818000</v>
      </c>
      <c r="H75" s="431"/>
    </row>
    <row r="76" spans="1:8" ht="13.5" customHeight="1">
      <c r="A76" s="519"/>
      <c r="B76" s="520"/>
      <c r="C76" s="520"/>
      <c r="D76" s="520"/>
      <c r="E76" s="520"/>
      <c r="F76" s="438" t="s">
        <v>525</v>
      </c>
      <c r="G76" s="439">
        <v>2163000</v>
      </c>
      <c r="H76" s="431"/>
    </row>
    <row r="77" spans="1:8" ht="13.5" customHeight="1">
      <c r="A77" s="519"/>
      <c r="B77" s="520"/>
      <c r="C77" s="520" t="s">
        <v>529</v>
      </c>
      <c r="D77" s="520" t="s">
        <v>530</v>
      </c>
      <c r="E77" s="438" t="s">
        <v>516</v>
      </c>
      <c r="F77" s="438" t="s">
        <v>517</v>
      </c>
      <c r="G77" s="439">
        <v>2627656000</v>
      </c>
      <c r="H77" s="431"/>
    </row>
    <row r="78" spans="1:8" ht="13.5" customHeight="1">
      <c r="A78" s="519"/>
      <c r="B78" s="520"/>
      <c r="C78" s="520"/>
      <c r="D78" s="520"/>
      <c r="E78" s="438" t="s">
        <v>523</v>
      </c>
      <c r="F78" s="438" t="s">
        <v>524</v>
      </c>
      <c r="G78" s="439">
        <v>78925000</v>
      </c>
      <c r="H78" s="431"/>
    </row>
    <row r="79" spans="1:8" ht="13.5" customHeight="1">
      <c r="A79" s="519"/>
      <c r="B79" s="520"/>
      <c r="C79" s="520" t="s">
        <v>497</v>
      </c>
      <c r="D79" s="520" t="s">
        <v>531</v>
      </c>
      <c r="E79" s="438" t="s">
        <v>516</v>
      </c>
      <c r="F79" s="438" t="s">
        <v>517</v>
      </c>
      <c r="G79" s="439">
        <v>673666000</v>
      </c>
      <c r="H79" s="431"/>
    </row>
    <row r="80" spans="1:8" ht="13.5" customHeight="1">
      <c r="A80" s="519"/>
      <c r="B80" s="520"/>
      <c r="C80" s="520"/>
      <c r="D80" s="520"/>
      <c r="E80" s="520" t="s">
        <v>523</v>
      </c>
      <c r="F80" s="438" t="s">
        <v>527</v>
      </c>
      <c r="G80" s="439">
        <v>26274000</v>
      </c>
      <c r="H80" s="431"/>
    </row>
    <row r="81" spans="1:8" ht="13.5" customHeight="1">
      <c r="A81" s="519"/>
      <c r="B81" s="520"/>
      <c r="C81" s="520"/>
      <c r="D81" s="520"/>
      <c r="E81" s="520"/>
      <c r="F81" s="438" t="s">
        <v>524</v>
      </c>
      <c r="G81" s="439">
        <v>23858000</v>
      </c>
      <c r="H81" s="431"/>
    </row>
    <row r="82" spans="1:8" ht="13.5" customHeight="1">
      <c r="A82" s="519"/>
      <c r="B82" s="520"/>
      <c r="C82" s="520"/>
      <c r="D82" s="520" t="s">
        <v>532</v>
      </c>
      <c r="E82" s="438" t="s">
        <v>516</v>
      </c>
      <c r="F82" s="438" t="s">
        <v>517</v>
      </c>
      <c r="G82" s="439">
        <v>25515912000</v>
      </c>
      <c r="H82" s="431"/>
    </row>
    <row r="83" spans="1:8" ht="13.5" customHeight="1">
      <c r="A83" s="519"/>
      <c r="B83" s="520"/>
      <c r="C83" s="520"/>
      <c r="D83" s="520"/>
      <c r="E83" s="520" t="s">
        <v>523</v>
      </c>
      <c r="F83" s="438" t="s">
        <v>527</v>
      </c>
      <c r="G83" s="439">
        <v>69009000</v>
      </c>
      <c r="H83" s="431"/>
    </row>
    <row r="84" spans="1:8" ht="13.5" customHeight="1">
      <c r="A84" s="519"/>
      <c r="B84" s="520"/>
      <c r="C84" s="520"/>
      <c r="D84" s="520"/>
      <c r="E84" s="520"/>
      <c r="F84" s="438" t="s">
        <v>524</v>
      </c>
      <c r="G84" s="439">
        <v>1454895000</v>
      </c>
      <c r="H84" s="431"/>
    </row>
    <row r="85" spans="1:8" ht="13.5" customHeight="1">
      <c r="A85" s="519"/>
      <c r="B85" s="438" t="s">
        <v>508</v>
      </c>
      <c r="C85" s="438" t="s">
        <v>497</v>
      </c>
      <c r="D85" s="438" t="s">
        <v>532</v>
      </c>
      <c r="E85" s="438" t="s">
        <v>553</v>
      </c>
      <c r="F85" s="438" t="s">
        <v>554</v>
      </c>
      <c r="G85" s="439">
        <v>1895000000</v>
      </c>
      <c r="H85" s="431"/>
    </row>
    <row r="86" spans="1:8" ht="13.5" customHeight="1">
      <c r="A86" s="519" t="s">
        <v>555</v>
      </c>
      <c r="B86" s="520" t="s">
        <v>508</v>
      </c>
      <c r="C86" s="438" t="s">
        <v>497</v>
      </c>
      <c r="D86" s="438" t="s">
        <v>498</v>
      </c>
      <c r="E86" s="438" t="s">
        <v>543</v>
      </c>
      <c r="F86" s="438" t="s">
        <v>544</v>
      </c>
      <c r="G86" s="439">
        <v>242350500</v>
      </c>
      <c r="H86" s="431"/>
    </row>
    <row r="87" spans="1:8" ht="13.5" customHeight="1">
      <c r="A87" s="519"/>
      <c r="B87" s="520"/>
      <c r="C87" s="438" t="s">
        <v>514</v>
      </c>
      <c r="D87" s="438" t="s">
        <v>515</v>
      </c>
      <c r="E87" s="438" t="s">
        <v>501</v>
      </c>
      <c r="F87" s="438" t="s">
        <v>502</v>
      </c>
      <c r="G87" s="439">
        <v>111216000</v>
      </c>
      <c r="H87" s="431"/>
    </row>
    <row r="88" spans="1:8" ht="13.5" customHeight="1">
      <c r="A88" s="519" t="s">
        <v>556</v>
      </c>
      <c r="B88" s="520" t="s">
        <v>557</v>
      </c>
      <c r="C88" s="520" t="s">
        <v>519</v>
      </c>
      <c r="D88" s="520" t="s">
        <v>558</v>
      </c>
      <c r="E88" s="520" t="s">
        <v>499</v>
      </c>
      <c r="F88" s="438" t="s">
        <v>500</v>
      </c>
      <c r="G88" s="439">
        <v>16143000</v>
      </c>
      <c r="H88" s="431"/>
    </row>
    <row r="89" spans="1:8" ht="13.5" customHeight="1">
      <c r="A89" s="519"/>
      <c r="B89" s="520"/>
      <c r="C89" s="520"/>
      <c r="D89" s="520"/>
      <c r="E89" s="520"/>
      <c r="F89" s="438" t="s">
        <v>541</v>
      </c>
      <c r="G89" s="439">
        <v>68470000</v>
      </c>
      <c r="H89" s="431"/>
    </row>
    <row r="90" spans="1:8" ht="13.5" customHeight="1">
      <c r="A90" s="519"/>
      <c r="B90" s="520"/>
      <c r="C90" s="520"/>
      <c r="D90" s="520"/>
      <c r="E90" s="438" t="s">
        <v>559</v>
      </c>
      <c r="F90" s="438" t="s">
        <v>560</v>
      </c>
      <c r="G90" s="439">
        <v>12000000</v>
      </c>
      <c r="H90" s="431"/>
    </row>
    <row r="91" spans="1:8" ht="13.5" customHeight="1">
      <c r="A91" s="519"/>
      <c r="B91" s="520"/>
      <c r="C91" s="520"/>
      <c r="D91" s="520"/>
      <c r="E91" s="520" t="s">
        <v>561</v>
      </c>
      <c r="F91" s="438" t="s">
        <v>562</v>
      </c>
      <c r="G91" s="439">
        <v>8400000</v>
      </c>
      <c r="H91" s="431"/>
    </row>
    <row r="92" spans="1:8" ht="13.5" customHeight="1">
      <c r="A92" s="519"/>
      <c r="B92" s="520"/>
      <c r="C92" s="520"/>
      <c r="D92" s="520"/>
      <c r="E92" s="520"/>
      <c r="F92" s="438" t="s">
        <v>563</v>
      </c>
      <c r="G92" s="439">
        <v>5600000</v>
      </c>
      <c r="H92" s="431"/>
    </row>
    <row r="93" spans="1:8" ht="13.5" customHeight="1">
      <c r="A93" s="519"/>
      <c r="B93" s="520"/>
      <c r="C93" s="520"/>
      <c r="D93" s="520"/>
      <c r="E93" s="520"/>
      <c r="F93" s="438" t="s">
        <v>564</v>
      </c>
      <c r="G93" s="439">
        <v>6500000</v>
      </c>
      <c r="H93" s="431"/>
    </row>
    <row r="94" spans="1:8" ht="13.5" customHeight="1">
      <c r="A94" s="519"/>
      <c r="B94" s="520"/>
      <c r="C94" s="520"/>
      <c r="D94" s="520"/>
      <c r="E94" s="520" t="s">
        <v>565</v>
      </c>
      <c r="F94" s="438" t="s">
        <v>566</v>
      </c>
      <c r="G94" s="439">
        <v>48000000</v>
      </c>
      <c r="H94" s="431"/>
    </row>
    <row r="95" spans="1:8" ht="13.5" customHeight="1">
      <c r="A95" s="519"/>
      <c r="B95" s="520"/>
      <c r="C95" s="520"/>
      <c r="D95" s="520"/>
      <c r="E95" s="520"/>
      <c r="F95" s="438" t="s">
        <v>567</v>
      </c>
      <c r="G95" s="439">
        <v>42000000</v>
      </c>
      <c r="H95" s="431"/>
    </row>
    <row r="96" spans="1:8" ht="13.5" customHeight="1">
      <c r="A96" s="519"/>
      <c r="B96" s="520"/>
      <c r="C96" s="520"/>
      <c r="D96" s="520"/>
      <c r="E96" s="438" t="s">
        <v>553</v>
      </c>
      <c r="F96" s="438" t="s">
        <v>568</v>
      </c>
      <c r="G96" s="439">
        <v>4000000</v>
      </c>
      <c r="H96" s="431"/>
    </row>
    <row r="97" spans="1:8" ht="13.5" customHeight="1">
      <c r="A97" s="519"/>
      <c r="B97" s="520"/>
      <c r="C97" s="520"/>
      <c r="D97" s="520"/>
      <c r="E97" s="520" t="s">
        <v>501</v>
      </c>
      <c r="F97" s="438" t="s">
        <v>502</v>
      </c>
      <c r="G97" s="439">
        <v>30660000</v>
      </c>
      <c r="H97" s="431"/>
    </row>
    <row r="98" spans="1:8" ht="13.5" customHeight="1">
      <c r="A98" s="519"/>
      <c r="B98" s="520"/>
      <c r="C98" s="520"/>
      <c r="D98" s="520"/>
      <c r="E98" s="520"/>
      <c r="F98" s="438" t="s">
        <v>503</v>
      </c>
      <c r="G98" s="439">
        <v>177522000</v>
      </c>
      <c r="H98" s="431"/>
    </row>
    <row r="99" spans="1:8" ht="13.5" customHeight="1" hidden="1">
      <c r="A99" s="519"/>
      <c r="B99" s="520" t="s">
        <v>569</v>
      </c>
      <c r="C99" s="520" t="s">
        <v>519</v>
      </c>
      <c r="D99" s="520" t="s">
        <v>558</v>
      </c>
      <c r="E99" s="438" t="s">
        <v>570</v>
      </c>
      <c r="F99" s="438" t="s">
        <v>571</v>
      </c>
      <c r="G99" s="439">
        <v>0</v>
      </c>
      <c r="H99" s="431"/>
    </row>
    <row r="100" spans="1:8" ht="13.5" customHeight="1">
      <c r="A100" s="519"/>
      <c r="B100" s="520"/>
      <c r="C100" s="520"/>
      <c r="D100" s="520"/>
      <c r="E100" s="438" t="s">
        <v>543</v>
      </c>
      <c r="F100" s="438" t="s">
        <v>544</v>
      </c>
      <c r="G100" s="439">
        <v>1609000</v>
      </c>
      <c r="H100" s="431"/>
    </row>
    <row r="101" spans="1:8" ht="13.5" customHeight="1">
      <c r="A101" s="519"/>
      <c r="B101" s="520" t="s">
        <v>572</v>
      </c>
      <c r="C101" s="520" t="s">
        <v>519</v>
      </c>
      <c r="D101" s="520" t="s">
        <v>573</v>
      </c>
      <c r="E101" s="520" t="s">
        <v>574</v>
      </c>
      <c r="F101" s="438" t="s">
        <v>575</v>
      </c>
      <c r="G101" s="439">
        <v>6460000</v>
      </c>
      <c r="H101" s="431"/>
    </row>
    <row r="102" spans="1:8" ht="13.5" customHeight="1">
      <c r="A102" s="519"/>
      <c r="B102" s="520"/>
      <c r="C102" s="520"/>
      <c r="D102" s="520"/>
      <c r="E102" s="520"/>
      <c r="F102" s="438" t="s">
        <v>576</v>
      </c>
      <c r="G102" s="439">
        <v>16000000</v>
      </c>
      <c r="H102" s="431"/>
    </row>
    <row r="103" spans="1:8" ht="13.5" customHeight="1">
      <c r="A103" s="519"/>
      <c r="B103" s="520"/>
      <c r="C103" s="520"/>
      <c r="D103" s="520"/>
      <c r="E103" s="520"/>
      <c r="F103" s="438" t="s">
        <v>577</v>
      </c>
      <c r="G103" s="439">
        <v>1600000</v>
      </c>
      <c r="H103" s="431"/>
    </row>
    <row r="104" spans="1:8" ht="13.5" customHeight="1">
      <c r="A104" s="519"/>
      <c r="B104" s="520"/>
      <c r="C104" s="520"/>
      <c r="D104" s="520"/>
      <c r="E104" s="520"/>
      <c r="F104" s="438" t="s">
        <v>578</v>
      </c>
      <c r="G104" s="439">
        <v>40000000</v>
      </c>
      <c r="H104" s="431"/>
    </row>
    <row r="105" spans="1:8" ht="13.5" customHeight="1">
      <c r="A105" s="519"/>
      <c r="B105" s="520"/>
      <c r="C105" s="520"/>
      <c r="D105" s="520"/>
      <c r="E105" s="520"/>
      <c r="F105" s="438" t="s">
        <v>579</v>
      </c>
      <c r="G105" s="439">
        <v>11185000</v>
      </c>
      <c r="H105" s="431"/>
    </row>
    <row r="106" spans="1:8" ht="13.5" customHeight="1">
      <c r="A106" s="519"/>
      <c r="B106" s="520"/>
      <c r="C106" s="520" t="s">
        <v>580</v>
      </c>
      <c r="D106" s="520" t="s">
        <v>581</v>
      </c>
      <c r="E106" s="438" t="s">
        <v>559</v>
      </c>
      <c r="F106" s="438" t="s">
        <v>560</v>
      </c>
      <c r="G106" s="439">
        <v>48750000</v>
      </c>
      <c r="H106" s="431"/>
    </row>
    <row r="107" spans="1:8" ht="13.5" customHeight="1">
      <c r="A107" s="519"/>
      <c r="B107" s="520"/>
      <c r="C107" s="520"/>
      <c r="D107" s="520"/>
      <c r="E107" s="520" t="s">
        <v>561</v>
      </c>
      <c r="F107" s="438" t="s">
        <v>563</v>
      </c>
      <c r="G107" s="439">
        <v>23650000</v>
      </c>
      <c r="H107" s="431"/>
    </row>
    <row r="108" spans="1:8" ht="13.5" customHeight="1">
      <c r="A108" s="519"/>
      <c r="B108" s="520"/>
      <c r="C108" s="520"/>
      <c r="D108" s="520"/>
      <c r="E108" s="520"/>
      <c r="F108" s="438" t="s">
        <v>564</v>
      </c>
      <c r="G108" s="439">
        <v>15700000</v>
      </c>
      <c r="H108" s="431"/>
    </row>
    <row r="109" spans="1:8" ht="13.5" customHeight="1">
      <c r="A109" s="519"/>
      <c r="B109" s="520"/>
      <c r="C109" s="520"/>
      <c r="D109" s="520"/>
      <c r="E109" s="520" t="s">
        <v>565</v>
      </c>
      <c r="F109" s="438" t="s">
        <v>566</v>
      </c>
      <c r="G109" s="439">
        <v>52300000</v>
      </c>
      <c r="H109" s="431"/>
    </row>
    <row r="110" spans="1:8" ht="13.5" customHeight="1">
      <c r="A110" s="519"/>
      <c r="B110" s="520"/>
      <c r="C110" s="520"/>
      <c r="D110" s="520"/>
      <c r="E110" s="520"/>
      <c r="F110" s="438" t="s">
        <v>582</v>
      </c>
      <c r="G110" s="439">
        <v>20000000</v>
      </c>
      <c r="H110" s="431"/>
    </row>
    <row r="111" spans="1:8" ht="13.5" customHeight="1">
      <c r="A111" s="519"/>
      <c r="B111" s="520"/>
      <c r="C111" s="520"/>
      <c r="D111" s="520"/>
      <c r="E111" s="520"/>
      <c r="F111" s="438" t="s">
        <v>583</v>
      </c>
      <c r="G111" s="439">
        <v>130560000</v>
      </c>
      <c r="H111" s="431"/>
    </row>
    <row r="112" spans="1:8" ht="13.5" customHeight="1">
      <c r="A112" s="519"/>
      <c r="B112" s="520"/>
      <c r="C112" s="520"/>
      <c r="D112" s="520"/>
      <c r="E112" s="520" t="s">
        <v>501</v>
      </c>
      <c r="F112" s="438" t="s">
        <v>502</v>
      </c>
      <c r="G112" s="439">
        <v>118018000</v>
      </c>
      <c r="H112" s="431"/>
    </row>
    <row r="113" spans="1:8" ht="13.5" customHeight="1">
      <c r="A113" s="519"/>
      <c r="B113" s="520"/>
      <c r="C113" s="520"/>
      <c r="D113" s="520"/>
      <c r="E113" s="520"/>
      <c r="F113" s="438" t="s">
        <v>503</v>
      </c>
      <c r="G113" s="439">
        <v>435460000</v>
      </c>
      <c r="H113" s="431"/>
    </row>
    <row r="114" spans="1:8" ht="13.5" customHeight="1">
      <c r="A114" s="519"/>
      <c r="B114" s="520"/>
      <c r="C114" s="520"/>
      <c r="D114" s="520"/>
      <c r="E114" s="438" t="s">
        <v>543</v>
      </c>
      <c r="F114" s="438" t="s">
        <v>544</v>
      </c>
      <c r="G114" s="439">
        <v>4895000</v>
      </c>
      <c r="H114" s="431"/>
    </row>
    <row r="115" spans="1:8" ht="12" customHeight="1">
      <c r="A115" s="519"/>
      <c r="B115" s="520" t="s">
        <v>584</v>
      </c>
      <c r="C115" s="520" t="s">
        <v>519</v>
      </c>
      <c r="D115" s="520" t="s">
        <v>585</v>
      </c>
      <c r="E115" s="438" t="s">
        <v>501</v>
      </c>
      <c r="F115" s="438" t="s">
        <v>503</v>
      </c>
      <c r="G115" s="439">
        <v>38064000</v>
      </c>
      <c r="H115" s="431"/>
    </row>
    <row r="116" spans="1:8" ht="12" customHeight="1">
      <c r="A116" s="519"/>
      <c r="B116" s="520"/>
      <c r="C116" s="520"/>
      <c r="D116" s="520"/>
      <c r="E116" s="438" t="s">
        <v>586</v>
      </c>
      <c r="F116" s="438" t="s">
        <v>587</v>
      </c>
      <c r="G116" s="439">
        <v>208291100</v>
      </c>
      <c r="H116" s="431"/>
    </row>
    <row r="117" spans="1:8" ht="13.5" customHeight="1">
      <c r="A117" s="519"/>
      <c r="B117" s="520" t="s">
        <v>504</v>
      </c>
      <c r="C117" s="520" t="s">
        <v>497</v>
      </c>
      <c r="D117" s="520" t="s">
        <v>588</v>
      </c>
      <c r="E117" s="438" t="s">
        <v>559</v>
      </c>
      <c r="F117" s="438" t="s">
        <v>560</v>
      </c>
      <c r="G117" s="439">
        <v>10000000</v>
      </c>
      <c r="H117" s="431"/>
    </row>
    <row r="118" spans="1:8" ht="13.5" customHeight="1">
      <c r="A118" s="519"/>
      <c r="B118" s="520"/>
      <c r="C118" s="520"/>
      <c r="D118" s="520"/>
      <c r="E118" s="520" t="s">
        <v>574</v>
      </c>
      <c r="F118" s="438" t="s">
        <v>575</v>
      </c>
      <c r="G118" s="439">
        <v>9000000</v>
      </c>
      <c r="H118" s="431"/>
    </row>
    <row r="119" spans="1:8" ht="13.5" customHeight="1">
      <c r="A119" s="519"/>
      <c r="B119" s="520"/>
      <c r="C119" s="520"/>
      <c r="D119" s="520"/>
      <c r="E119" s="520"/>
      <c r="F119" s="438" t="s">
        <v>576</v>
      </c>
      <c r="G119" s="439">
        <v>3000000</v>
      </c>
      <c r="H119" s="431"/>
    </row>
    <row r="120" spans="1:8" ht="13.5" customHeight="1">
      <c r="A120" s="519"/>
      <c r="B120" s="520"/>
      <c r="C120" s="520"/>
      <c r="D120" s="520"/>
      <c r="E120" s="520"/>
      <c r="F120" s="438" t="s">
        <v>579</v>
      </c>
      <c r="G120" s="439">
        <v>19520000</v>
      </c>
      <c r="H120" s="431"/>
    </row>
    <row r="121" spans="1:8" ht="13.5" customHeight="1">
      <c r="A121" s="519"/>
      <c r="B121" s="520"/>
      <c r="C121" s="438" t="s">
        <v>580</v>
      </c>
      <c r="D121" s="438" t="s">
        <v>581</v>
      </c>
      <c r="E121" s="438" t="s">
        <v>586</v>
      </c>
      <c r="F121" s="438" t="s">
        <v>587</v>
      </c>
      <c r="G121" s="439">
        <v>549578000</v>
      </c>
      <c r="H121" s="431"/>
    </row>
    <row r="122" spans="1:8" ht="13.5" customHeight="1">
      <c r="A122" s="519"/>
      <c r="B122" s="520" t="s">
        <v>518</v>
      </c>
      <c r="C122" s="520" t="s">
        <v>519</v>
      </c>
      <c r="D122" s="520" t="s">
        <v>585</v>
      </c>
      <c r="E122" s="438" t="s">
        <v>499</v>
      </c>
      <c r="F122" s="438" t="s">
        <v>500</v>
      </c>
      <c r="G122" s="439">
        <v>1202500</v>
      </c>
      <c r="H122" s="431"/>
    </row>
    <row r="123" spans="1:8" ht="13.5" customHeight="1">
      <c r="A123" s="519"/>
      <c r="B123" s="520"/>
      <c r="C123" s="520"/>
      <c r="D123" s="520"/>
      <c r="E123" s="438" t="s">
        <v>565</v>
      </c>
      <c r="F123" s="438" t="s">
        <v>583</v>
      </c>
      <c r="G123" s="439">
        <v>6400000</v>
      </c>
      <c r="H123" s="431"/>
    </row>
    <row r="124" spans="1:8" ht="13.5" customHeight="1">
      <c r="A124" s="519"/>
      <c r="B124" s="520"/>
      <c r="C124" s="520"/>
      <c r="D124" s="520"/>
      <c r="E124" s="520" t="s">
        <v>501</v>
      </c>
      <c r="F124" s="438" t="s">
        <v>502</v>
      </c>
      <c r="G124" s="439">
        <v>3010000</v>
      </c>
      <c r="H124" s="431"/>
    </row>
    <row r="125" spans="1:8" ht="13.5" customHeight="1">
      <c r="A125" s="519"/>
      <c r="B125" s="520"/>
      <c r="C125" s="520"/>
      <c r="D125" s="520"/>
      <c r="E125" s="520"/>
      <c r="F125" s="438" t="s">
        <v>589</v>
      </c>
      <c r="G125" s="439">
        <v>15677500</v>
      </c>
      <c r="H125" s="431"/>
    </row>
    <row r="126" spans="1:8" ht="13.5" customHeight="1">
      <c r="A126" s="519"/>
      <c r="B126" s="520"/>
      <c r="C126" s="520"/>
      <c r="D126" s="520"/>
      <c r="E126" s="520"/>
      <c r="F126" s="438" t="s">
        <v>503</v>
      </c>
      <c r="G126" s="439">
        <v>26582000</v>
      </c>
      <c r="H126" s="431"/>
    </row>
    <row r="127" spans="1:8" ht="13.5" customHeight="1">
      <c r="A127" s="519"/>
      <c r="B127" s="520"/>
      <c r="C127" s="520"/>
      <c r="D127" s="520"/>
      <c r="E127" s="438" t="s">
        <v>543</v>
      </c>
      <c r="F127" s="438" t="s">
        <v>544</v>
      </c>
      <c r="G127" s="439">
        <v>59460000</v>
      </c>
      <c r="H127" s="431"/>
    </row>
    <row r="128" spans="1:8" ht="13.5" customHeight="1">
      <c r="A128" s="519"/>
      <c r="B128" s="520"/>
      <c r="C128" s="520"/>
      <c r="D128" s="520"/>
      <c r="E128" s="438" t="s">
        <v>586</v>
      </c>
      <c r="F128" s="438" t="s">
        <v>587</v>
      </c>
      <c r="G128" s="439">
        <v>1876607700</v>
      </c>
      <c r="H128" s="431"/>
    </row>
    <row r="129" spans="1:8" ht="13.5" customHeight="1">
      <c r="A129" s="519" t="s">
        <v>590</v>
      </c>
      <c r="B129" s="438" t="s">
        <v>572</v>
      </c>
      <c r="C129" s="438" t="s">
        <v>580</v>
      </c>
      <c r="D129" s="438" t="s">
        <v>581</v>
      </c>
      <c r="E129" s="438" t="s">
        <v>501</v>
      </c>
      <c r="F129" s="438" t="s">
        <v>503</v>
      </c>
      <c r="G129" s="439">
        <v>234000000</v>
      </c>
      <c r="H129" s="431"/>
    </row>
    <row r="130" spans="1:8" ht="13.5" customHeight="1">
      <c r="A130" s="519"/>
      <c r="B130" s="520" t="s">
        <v>504</v>
      </c>
      <c r="C130" s="520" t="s">
        <v>529</v>
      </c>
      <c r="D130" s="438" t="s">
        <v>530</v>
      </c>
      <c r="E130" s="438" t="s">
        <v>559</v>
      </c>
      <c r="F130" s="438" t="s">
        <v>560</v>
      </c>
      <c r="G130" s="439">
        <v>38000000</v>
      </c>
      <c r="H130" s="431"/>
    </row>
    <row r="131" spans="1:8" ht="13.5" customHeight="1">
      <c r="A131" s="519"/>
      <c r="B131" s="520"/>
      <c r="C131" s="520"/>
      <c r="D131" s="520" t="s">
        <v>591</v>
      </c>
      <c r="E131" s="438" t="s">
        <v>559</v>
      </c>
      <c r="F131" s="438" t="s">
        <v>560</v>
      </c>
      <c r="G131" s="439">
        <v>23000000</v>
      </c>
      <c r="H131" s="431"/>
    </row>
    <row r="132" spans="1:8" ht="13.5" customHeight="1">
      <c r="A132" s="519"/>
      <c r="B132" s="520"/>
      <c r="C132" s="520"/>
      <c r="D132" s="520"/>
      <c r="E132" s="438" t="s">
        <v>501</v>
      </c>
      <c r="F132" s="438" t="s">
        <v>503</v>
      </c>
      <c r="G132" s="439">
        <v>32000000</v>
      </c>
      <c r="H132" s="431"/>
    </row>
    <row r="133" spans="1:8" ht="13.5" customHeight="1">
      <c r="A133" s="519"/>
      <c r="B133" s="520"/>
      <c r="C133" s="520"/>
      <c r="D133" s="520"/>
      <c r="E133" s="438" t="s">
        <v>543</v>
      </c>
      <c r="F133" s="438" t="s">
        <v>544</v>
      </c>
      <c r="G133" s="439">
        <v>48000000</v>
      </c>
      <c r="H133" s="431"/>
    </row>
    <row r="134" spans="1:8" ht="13.5" customHeight="1">
      <c r="A134" s="519"/>
      <c r="B134" s="520"/>
      <c r="C134" s="438" t="s">
        <v>497</v>
      </c>
      <c r="D134" s="438" t="s">
        <v>588</v>
      </c>
      <c r="E134" s="438" t="s">
        <v>559</v>
      </c>
      <c r="F134" s="438" t="s">
        <v>592</v>
      </c>
      <c r="G134" s="439">
        <v>47000000</v>
      </c>
      <c r="H134" s="431"/>
    </row>
    <row r="135" spans="1:8" ht="13.5" customHeight="1">
      <c r="A135" s="519"/>
      <c r="B135" s="520"/>
      <c r="C135" s="438" t="s">
        <v>514</v>
      </c>
      <c r="D135" s="438" t="s">
        <v>515</v>
      </c>
      <c r="E135" s="438" t="s">
        <v>559</v>
      </c>
      <c r="F135" s="438" t="s">
        <v>560</v>
      </c>
      <c r="G135" s="439">
        <v>92000000</v>
      </c>
      <c r="H135" s="431"/>
    </row>
    <row r="136" spans="1:8" ht="13.5" customHeight="1">
      <c r="A136" s="519"/>
      <c r="B136" s="520"/>
      <c r="C136" s="520" t="s">
        <v>580</v>
      </c>
      <c r="D136" s="520" t="s">
        <v>581</v>
      </c>
      <c r="E136" s="520" t="s">
        <v>574</v>
      </c>
      <c r="F136" s="438" t="s">
        <v>575</v>
      </c>
      <c r="G136" s="439">
        <v>4300000</v>
      </c>
      <c r="H136" s="431"/>
    </row>
    <row r="137" spans="1:8" ht="13.5" customHeight="1">
      <c r="A137" s="519"/>
      <c r="B137" s="520"/>
      <c r="C137" s="520"/>
      <c r="D137" s="520"/>
      <c r="E137" s="520"/>
      <c r="F137" s="438" t="s">
        <v>576</v>
      </c>
      <c r="G137" s="439">
        <v>500000</v>
      </c>
      <c r="H137" s="431"/>
    </row>
    <row r="138" spans="1:8" ht="13.5" customHeight="1">
      <c r="A138" s="519"/>
      <c r="B138" s="520"/>
      <c r="C138" s="520"/>
      <c r="D138" s="520"/>
      <c r="E138" s="520"/>
      <c r="F138" s="438" t="s">
        <v>578</v>
      </c>
      <c r="G138" s="439">
        <v>5000000</v>
      </c>
      <c r="H138" s="431"/>
    </row>
    <row r="139" spans="1:8" ht="13.5" customHeight="1">
      <c r="A139" s="519"/>
      <c r="B139" s="520"/>
      <c r="C139" s="520"/>
      <c r="D139" s="520"/>
      <c r="E139" s="520"/>
      <c r="F139" s="438" t="s">
        <v>593</v>
      </c>
      <c r="G139" s="439">
        <v>5200000</v>
      </c>
      <c r="H139" s="431"/>
    </row>
    <row r="140" spans="1:8" ht="13.5" customHeight="1">
      <c r="A140" s="519"/>
      <c r="B140" s="520" t="s">
        <v>594</v>
      </c>
      <c r="C140" s="520" t="s">
        <v>529</v>
      </c>
      <c r="D140" s="520" t="s">
        <v>530</v>
      </c>
      <c r="E140" s="520" t="s">
        <v>574</v>
      </c>
      <c r="F140" s="438" t="s">
        <v>575</v>
      </c>
      <c r="G140" s="439">
        <v>6060000</v>
      </c>
      <c r="H140" s="431"/>
    </row>
    <row r="141" spans="1:8" ht="13.5" customHeight="1">
      <c r="A141" s="519"/>
      <c r="B141" s="520"/>
      <c r="C141" s="520"/>
      <c r="D141" s="520"/>
      <c r="E141" s="520"/>
      <c r="F141" s="438" t="s">
        <v>576</v>
      </c>
      <c r="G141" s="439">
        <v>5200000</v>
      </c>
      <c r="H141" s="431"/>
    </row>
    <row r="142" spans="1:8" ht="13.5" customHeight="1">
      <c r="A142" s="519"/>
      <c r="B142" s="520"/>
      <c r="C142" s="520"/>
      <c r="D142" s="520"/>
      <c r="E142" s="520"/>
      <c r="F142" s="438" t="s">
        <v>593</v>
      </c>
      <c r="G142" s="439">
        <v>72300000</v>
      </c>
      <c r="H142" s="431"/>
    </row>
    <row r="143" spans="1:8" ht="13.5" customHeight="1">
      <c r="A143" s="519"/>
      <c r="B143" s="520"/>
      <c r="C143" s="520"/>
      <c r="D143" s="520"/>
      <c r="E143" s="520"/>
      <c r="F143" s="438" t="s">
        <v>579</v>
      </c>
      <c r="G143" s="439">
        <v>16870000</v>
      </c>
      <c r="H143" s="431"/>
    </row>
    <row r="144" spans="1:8" ht="13.5" customHeight="1">
      <c r="A144" s="519"/>
      <c r="B144" s="520"/>
      <c r="C144" s="520" t="s">
        <v>514</v>
      </c>
      <c r="D144" s="520" t="s">
        <v>515</v>
      </c>
      <c r="E144" s="520" t="s">
        <v>501</v>
      </c>
      <c r="F144" s="438" t="s">
        <v>502</v>
      </c>
      <c r="G144" s="439">
        <v>44000000</v>
      </c>
      <c r="H144" s="431"/>
    </row>
    <row r="145" spans="1:8" ht="13.5" customHeight="1">
      <c r="A145" s="519"/>
      <c r="B145" s="520"/>
      <c r="C145" s="520"/>
      <c r="D145" s="520"/>
      <c r="E145" s="520"/>
      <c r="F145" s="438" t="s">
        <v>503</v>
      </c>
      <c r="G145" s="439">
        <v>37000000</v>
      </c>
      <c r="H145" s="431"/>
    </row>
    <row r="146" spans="1:8" ht="13.5" customHeight="1">
      <c r="A146" s="519"/>
      <c r="B146" s="520" t="s">
        <v>595</v>
      </c>
      <c r="C146" s="520" t="s">
        <v>596</v>
      </c>
      <c r="D146" s="520" t="s">
        <v>597</v>
      </c>
      <c r="E146" s="438" t="s">
        <v>553</v>
      </c>
      <c r="F146" s="438" t="s">
        <v>568</v>
      </c>
      <c r="G146" s="439">
        <v>2000000</v>
      </c>
      <c r="H146" s="431"/>
    </row>
    <row r="147" spans="1:8" ht="13.5" customHeight="1">
      <c r="A147" s="519"/>
      <c r="B147" s="520"/>
      <c r="C147" s="520"/>
      <c r="D147" s="520"/>
      <c r="E147" s="438" t="s">
        <v>501</v>
      </c>
      <c r="F147" s="438" t="s">
        <v>589</v>
      </c>
      <c r="G147" s="439">
        <v>50000000</v>
      </c>
      <c r="H147" s="431"/>
    </row>
    <row r="148" spans="1:8" ht="13.5" customHeight="1">
      <c r="A148" s="519" t="s">
        <v>598</v>
      </c>
      <c r="B148" s="520" t="s">
        <v>599</v>
      </c>
      <c r="C148" s="520" t="s">
        <v>519</v>
      </c>
      <c r="D148" s="520" t="s">
        <v>573</v>
      </c>
      <c r="E148" s="438" t="s">
        <v>570</v>
      </c>
      <c r="F148" s="438" t="s">
        <v>600</v>
      </c>
      <c r="G148" s="439">
        <v>2130300</v>
      </c>
      <c r="H148" s="431"/>
    </row>
    <row r="149" spans="1:8" ht="13.5" customHeight="1">
      <c r="A149" s="519"/>
      <c r="B149" s="520"/>
      <c r="C149" s="520"/>
      <c r="D149" s="520"/>
      <c r="E149" s="520" t="s">
        <v>561</v>
      </c>
      <c r="F149" s="438" t="s">
        <v>563</v>
      </c>
      <c r="G149" s="439">
        <v>1200000</v>
      </c>
      <c r="H149" s="431"/>
    </row>
    <row r="150" spans="1:8" ht="13.5" customHeight="1">
      <c r="A150" s="519"/>
      <c r="B150" s="520"/>
      <c r="C150" s="520"/>
      <c r="D150" s="520"/>
      <c r="E150" s="520"/>
      <c r="F150" s="438" t="s">
        <v>564</v>
      </c>
      <c r="G150" s="439">
        <v>1050000</v>
      </c>
      <c r="H150" s="431"/>
    </row>
    <row r="151" spans="1:8" ht="13.5" customHeight="1">
      <c r="A151" s="519"/>
      <c r="B151" s="520"/>
      <c r="C151" s="520"/>
      <c r="D151" s="520"/>
      <c r="E151" s="438" t="s">
        <v>543</v>
      </c>
      <c r="F151" s="438" t="s">
        <v>601</v>
      </c>
      <c r="G151" s="439">
        <v>55000</v>
      </c>
      <c r="H151" s="431"/>
    </row>
    <row r="152" spans="1:8" ht="13.5" customHeight="1" hidden="1">
      <c r="A152" s="519"/>
      <c r="B152" s="520" t="s">
        <v>557</v>
      </c>
      <c r="C152" s="520" t="s">
        <v>519</v>
      </c>
      <c r="D152" s="520" t="s">
        <v>573</v>
      </c>
      <c r="E152" s="438" t="s">
        <v>574</v>
      </c>
      <c r="F152" s="438" t="s">
        <v>578</v>
      </c>
      <c r="G152" s="439">
        <v>0</v>
      </c>
      <c r="H152" s="431"/>
    </row>
    <row r="153" spans="1:8" ht="13.5" customHeight="1">
      <c r="A153" s="519"/>
      <c r="B153" s="520"/>
      <c r="C153" s="520"/>
      <c r="D153" s="520"/>
      <c r="E153" s="438" t="s">
        <v>561</v>
      </c>
      <c r="F153" s="438" t="s">
        <v>563</v>
      </c>
      <c r="G153" s="439">
        <v>2460000</v>
      </c>
      <c r="H153" s="431"/>
    </row>
    <row r="154" spans="1:8" ht="13.5" customHeight="1">
      <c r="A154" s="519"/>
      <c r="B154" s="520"/>
      <c r="C154" s="520"/>
      <c r="D154" s="520"/>
      <c r="E154" s="438" t="s">
        <v>565</v>
      </c>
      <c r="F154" s="438" t="s">
        <v>566</v>
      </c>
      <c r="G154" s="439">
        <v>7800000</v>
      </c>
      <c r="H154" s="431"/>
    </row>
    <row r="155" spans="1:8" ht="13.5" customHeight="1">
      <c r="A155" s="519"/>
      <c r="B155" s="520" t="s">
        <v>572</v>
      </c>
      <c r="C155" s="520" t="s">
        <v>519</v>
      </c>
      <c r="D155" s="520" t="s">
        <v>602</v>
      </c>
      <c r="E155" s="438" t="s">
        <v>570</v>
      </c>
      <c r="F155" s="438" t="s">
        <v>600</v>
      </c>
      <c r="G155" s="439">
        <v>3065580</v>
      </c>
      <c r="H155" s="431"/>
    </row>
    <row r="156" spans="1:8" ht="13.5" customHeight="1">
      <c r="A156" s="519"/>
      <c r="B156" s="520"/>
      <c r="C156" s="520"/>
      <c r="D156" s="520"/>
      <c r="E156" s="520" t="s">
        <v>574</v>
      </c>
      <c r="F156" s="438" t="s">
        <v>575</v>
      </c>
      <c r="G156" s="439">
        <v>192870000</v>
      </c>
      <c r="H156" s="431"/>
    </row>
    <row r="157" spans="1:8" ht="13.5" customHeight="1">
      <c r="A157" s="519"/>
      <c r="B157" s="520"/>
      <c r="C157" s="520"/>
      <c r="D157" s="520"/>
      <c r="E157" s="520"/>
      <c r="F157" s="438" t="s">
        <v>576</v>
      </c>
      <c r="G157" s="439">
        <v>21700000</v>
      </c>
      <c r="H157" s="431"/>
    </row>
    <row r="158" spans="1:8" ht="13.5" customHeight="1">
      <c r="A158" s="519"/>
      <c r="B158" s="520"/>
      <c r="C158" s="520"/>
      <c r="D158" s="520"/>
      <c r="E158" s="520"/>
      <c r="F158" s="438" t="s">
        <v>603</v>
      </c>
      <c r="G158" s="439">
        <v>7500000</v>
      </c>
      <c r="H158" s="431"/>
    </row>
    <row r="159" spans="1:8" ht="13.5" customHeight="1">
      <c r="A159" s="519"/>
      <c r="B159" s="520"/>
      <c r="C159" s="520"/>
      <c r="D159" s="520"/>
      <c r="E159" s="520"/>
      <c r="F159" s="438" t="s">
        <v>578</v>
      </c>
      <c r="G159" s="439">
        <v>120750000</v>
      </c>
      <c r="H159" s="431"/>
    </row>
    <row r="160" spans="1:8" ht="13.5" customHeight="1">
      <c r="A160" s="519"/>
      <c r="B160" s="520"/>
      <c r="C160" s="520"/>
      <c r="D160" s="520"/>
      <c r="E160" s="520"/>
      <c r="F160" s="438" t="s">
        <v>579</v>
      </c>
      <c r="G160" s="439">
        <v>952995000</v>
      </c>
      <c r="H160" s="431"/>
    </row>
    <row r="161" spans="1:8" ht="13.5" customHeight="1">
      <c r="A161" s="519"/>
      <c r="B161" s="520"/>
      <c r="C161" s="520"/>
      <c r="D161" s="520"/>
      <c r="E161" s="438" t="s">
        <v>501</v>
      </c>
      <c r="F161" s="438" t="s">
        <v>503</v>
      </c>
      <c r="G161" s="439">
        <v>71235000</v>
      </c>
      <c r="H161" s="431"/>
    </row>
    <row r="162" spans="1:8" ht="13.5" customHeight="1">
      <c r="A162" s="519"/>
      <c r="B162" s="520"/>
      <c r="C162" s="520" t="s">
        <v>514</v>
      </c>
      <c r="D162" s="520" t="s">
        <v>515</v>
      </c>
      <c r="E162" s="438" t="s">
        <v>604</v>
      </c>
      <c r="F162" s="438" t="s">
        <v>605</v>
      </c>
      <c r="G162" s="439">
        <v>9701000</v>
      </c>
      <c r="H162" s="431"/>
    </row>
    <row r="163" spans="1:8" ht="13.5" customHeight="1">
      <c r="A163" s="519"/>
      <c r="B163" s="520"/>
      <c r="C163" s="520"/>
      <c r="D163" s="520"/>
      <c r="E163" s="438" t="s">
        <v>570</v>
      </c>
      <c r="F163" s="438" t="s">
        <v>600</v>
      </c>
      <c r="G163" s="439">
        <v>4107300.0000000005</v>
      </c>
      <c r="H163" s="431"/>
    </row>
    <row r="164" spans="1:8" ht="13.5" customHeight="1">
      <c r="A164" s="519"/>
      <c r="B164" s="520"/>
      <c r="C164" s="520"/>
      <c r="D164" s="520"/>
      <c r="E164" s="520" t="s">
        <v>574</v>
      </c>
      <c r="F164" s="438" t="s">
        <v>603</v>
      </c>
      <c r="G164" s="439">
        <v>284000</v>
      </c>
      <c r="H164" s="431"/>
    </row>
    <row r="165" spans="1:8" ht="13.5" customHeight="1">
      <c r="A165" s="519"/>
      <c r="B165" s="520"/>
      <c r="C165" s="520"/>
      <c r="D165" s="520"/>
      <c r="E165" s="520"/>
      <c r="F165" s="438" t="s">
        <v>577</v>
      </c>
      <c r="G165" s="439">
        <v>1800000</v>
      </c>
      <c r="H165" s="431"/>
    </row>
    <row r="166" spans="1:8" ht="13.5" customHeight="1">
      <c r="A166" s="519"/>
      <c r="B166" s="520"/>
      <c r="C166" s="520"/>
      <c r="D166" s="520"/>
      <c r="E166" s="520" t="s">
        <v>561</v>
      </c>
      <c r="F166" s="438" t="s">
        <v>563</v>
      </c>
      <c r="G166" s="439">
        <v>23540000</v>
      </c>
      <c r="H166" s="431"/>
    </row>
    <row r="167" spans="1:8" ht="13.5" customHeight="1">
      <c r="A167" s="519"/>
      <c r="B167" s="520"/>
      <c r="C167" s="520"/>
      <c r="D167" s="520"/>
      <c r="E167" s="520"/>
      <c r="F167" s="438" t="s">
        <v>564</v>
      </c>
      <c r="G167" s="439">
        <v>9350000</v>
      </c>
      <c r="H167" s="431"/>
    </row>
    <row r="168" spans="1:8" ht="13.5" customHeight="1">
      <c r="A168" s="519"/>
      <c r="B168" s="520"/>
      <c r="C168" s="520"/>
      <c r="D168" s="520"/>
      <c r="E168" s="438" t="s">
        <v>501</v>
      </c>
      <c r="F168" s="438" t="s">
        <v>503</v>
      </c>
      <c r="G168" s="439">
        <v>420000</v>
      </c>
      <c r="H168" s="431"/>
    </row>
    <row r="169" spans="1:8" ht="13.5" customHeight="1">
      <c r="A169" s="519"/>
      <c r="B169" s="438" t="s">
        <v>606</v>
      </c>
      <c r="C169" s="438" t="s">
        <v>596</v>
      </c>
      <c r="D169" s="438" t="s">
        <v>607</v>
      </c>
      <c r="E169" s="438" t="s">
        <v>501</v>
      </c>
      <c r="F169" s="438" t="s">
        <v>589</v>
      </c>
      <c r="G169" s="439">
        <v>10300000</v>
      </c>
      <c r="H169" s="431"/>
    </row>
    <row r="170" spans="1:8" ht="13.5" customHeight="1" hidden="1">
      <c r="A170" s="519"/>
      <c r="B170" s="520" t="s">
        <v>608</v>
      </c>
      <c r="C170" s="520" t="s">
        <v>514</v>
      </c>
      <c r="D170" s="520" t="s">
        <v>515</v>
      </c>
      <c r="E170" s="438" t="s">
        <v>570</v>
      </c>
      <c r="F170" s="438" t="s">
        <v>600</v>
      </c>
      <c r="G170" s="439">
        <v>0</v>
      </c>
      <c r="H170" s="431"/>
    </row>
    <row r="171" spans="1:8" ht="13.5" customHeight="1" hidden="1">
      <c r="A171" s="519"/>
      <c r="B171" s="520"/>
      <c r="C171" s="520"/>
      <c r="D171" s="520"/>
      <c r="E171" s="438" t="s">
        <v>561</v>
      </c>
      <c r="F171" s="438" t="s">
        <v>563</v>
      </c>
      <c r="G171" s="439">
        <v>0</v>
      </c>
      <c r="H171" s="431"/>
    </row>
    <row r="172" spans="1:8" ht="13.5" customHeight="1">
      <c r="A172" s="519"/>
      <c r="B172" s="520" t="s">
        <v>609</v>
      </c>
      <c r="C172" s="520" t="s">
        <v>514</v>
      </c>
      <c r="D172" s="520" t="s">
        <v>610</v>
      </c>
      <c r="E172" s="438" t="s">
        <v>604</v>
      </c>
      <c r="F172" s="438" t="s">
        <v>605</v>
      </c>
      <c r="G172" s="439">
        <v>4000000</v>
      </c>
      <c r="H172" s="431"/>
    </row>
    <row r="173" spans="1:8" ht="13.5" customHeight="1">
      <c r="A173" s="519"/>
      <c r="B173" s="520"/>
      <c r="C173" s="520"/>
      <c r="D173" s="520"/>
      <c r="E173" s="438" t="s">
        <v>570</v>
      </c>
      <c r="F173" s="438" t="s">
        <v>600</v>
      </c>
      <c r="G173" s="439">
        <v>6355000</v>
      </c>
      <c r="H173" s="431"/>
    </row>
    <row r="174" spans="1:8" ht="13.5" customHeight="1">
      <c r="A174" s="519"/>
      <c r="B174" s="520"/>
      <c r="C174" s="520"/>
      <c r="D174" s="520"/>
      <c r="E174" s="520" t="s">
        <v>561</v>
      </c>
      <c r="F174" s="438" t="s">
        <v>563</v>
      </c>
      <c r="G174" s="439">
        <v>6090000</v>
      </c>
      <c r="H174" s="431"/>
    </row>
    <row r="175" spans="1:8" ht="13.5" customHeight="1">
      <c r="A175" s="519"/>
      <c r="B175" s="520"/>
      <c r="C175" s="520"/>
      <c r="D175" s="520"/>
      <c r="E175" s="520"/>
      <c r="F175" s="438" t="s">
        <v>611</v>
      </c>
      <c r="G175" s="439">
        <v>4139999.9999999995</v>
      </c>
      <c r="H175" s="431"/>
    </row>
    <row r="176" spans="1:8" ht="13.5" customHeight="1">
      <c r="A176" s="519"/>
      <c r="B176" s="520" t="s">
        <v>612</v>
      </c>
      <c r="C176" s="520" t="s">
        <v>514</v>
      </c>
      <c r="D176" s="520" t="s">
        <v>610</v>
      </c>
      <c r="E176" s="438" t="s">
        <v>570</v>
      </c>
      <c r="F176" s="438" t="s">
        <v>600</v>
      </c>
      <c r="G176" s="439">
        <v>2590000</v>
      </c>
      <c r="H176" s="431"/>
    </row>
    <row r="177" spans="1:8" ht="13.5" customHeight="1">
      <c r="A177" s="519"/>
      <c r="B177" s="520"/>
      <c r="C177" s="520"/>
      <c r="D177" s="520"/>
      <c r="E177" s="438" t="s">
        <v>561</v>
      </c>
      <c r="F177" s="438" t="s">
        <v>563</v>
      </c>
      <c r="G177" s="439">
        <v>2700000</v>
      </c>
      <c r="H177" s="431"/>
    </row>
    <row r="178" spans="1:8" ht="13.5" customHeight="1">
      <c r="A178" s="519"/>
      <c r="B178" s="520"/>
      <c r="C178" s="520"/>
      <c r="D178" s="520"/>
      <c r="E178" s="438" t="s">
        <v>501</v>
      </c>
      <c r="F178" s="438" t="s">
        <v>503</v>
      </c>
      <c r="G178" s="439">
        <v>5010000</v>
      </c>
      <c r="H178" s="431"/>
    </row>
    <row r="179" spans="1:8" ht="13.5" customHeight="1">
      <c r="A179" s="519"/>
      <c r="B179" s="520" t="s">
        <v>613</v>
      </c>
      <c r="C179" s="520" t="s">
        <v>514</v>
      </c>
      <c r="D179" s="520" t="s">
        <v>610</v>
      </c>
      <c r="E179" s="438" t="s">
        <v>570</v>
      </c>
      <c r="F179" s="438" t="s">
        <v>600</v>
      </c>
      <c r="G179" s="439">
        <v>845000</v>
      </c>
      <c r="H179" s="431"/>
    </row>
    <row r="180" spans="1:8" ht="13.5" customHeight="1">
      <c r="A180" s="519"/>
      <c r="B180" s="520"/>
      <c r="C180" s="520"/>
      <c r="D180" s="520"/>
      <c r="E180" s="438" t="s">
        <v>574</v>
      </c>
      <c r="F180" s="438" t="s">
        <v>579</v>
      </c>
      <c r="G180" s="439">
        <v>675000</v>
      </c>
      <c r="H180" s="431"/>
    </row>
    <row r="181" spans="1:8" ht="13.5" customHeight="1">
      <c r="A181" s="519"/>
      <c r="B181" s="520"/>
      <c r="C181" s="520"/>
      <c r="D181" s="520"/>
      <c r="E181" s="438" t="s">
        <v>561</v>
      </c>
      <c r="F181" s="438" t="s">
        <v>563</v>
      </c>
      <c r="G181" s="439">
        <v>2100000</v>
      </c>
      <c r="H181" s="431"/>
    </row>
    <row r="182" spans="1:8" ht="13.5" customHeight="1">
      <c r="A182" s="519"/>
      <c r="B182" s="520"/>
      <c r="C182" s="520"/>
      <c r="D182" s="520"/>
      <c r="E182" s="438" t="s">
        <v>501</v>
      </c>
      <c r="F182" s="438" t="s">
        <v>503</v>
      </c>
      <c r="G182" s="439">
        <v>6680000</v>
      </c>
      <c r="H182" s="431"/>
    </row>
    <row r="183" spans="1:8" ht="13.5" customHeight="1">
      <c r="A183" s="519"/>
      <c r="B183" s="520" t="s">
        <v>614</v>
      </c>
      <c r="C183" s="520" t="s">
        <v>514</v>
      </c>
      <c r="D183" s="520" t="s">
        <v>610</v>
      </c>
      <c r="E183" s="438" t="s">
        <v>570</v>
      </c>
      <c r="F183" s="438" t="s">
        <v>600</v>
      </c>
      <c r="G183" s="439">
        <v>2080000</v>
      </c>
      <c r="H183" s="431"/>
    </row>
    <row r="184" spans="1:8" ht="13.5" customHeight="1">
      <c r="A184" s="519"/>
      <c r="B184" s="520"/>
      <c r="C184" s="520"/>
      <c r="D184" s="520"/>
      <c r="E184" s="438" t="s">
        <v>499</v>
      </c>
      <c r="F184" s="438" t="s">
        <v>500</v>
      </c>
      <c r="G184" s="439">
        <v>210000</v>
      </c>
      <c r="H184" s="431"/>
    </row>
    <row r="185" spans="1:8" ht="13.5" customHeight="1">
      <c r="A185" s="519"/>
      <c r="B185" s="520"/>
      <c r="C185" s="520"/>
      <c r="D185" s="520"/>
      <c r="E185" s="520" t="s">
        <v>561</v>
      </c>
      <c r="F185" s="438" t="s">
        <v>563</v>
      </c>
      <c r="G185" s="439">
        <v>2250000</v>
      </c>
      <c r="H185" s="431"/>
    </row>
    <row r="186" spans="1:8" ht="13.5" customHeight="1">
      <c r="A186" s="519"/>
      <c r="B186" s="520"/>
      <c r="C186" s="520"/>
      <c r="D186" s="520"/>
      <c r="E186" s="520"/>
      <c r="F186" s="438" t="s">
        <v>564</v>
      </c>
      <c r="G186" s="439">
        <v>1350000</v>
      </c>
      <c r="H186" s="431"/>
    </row>
    <row r="187" spans="1:8" ht="13.5" customHeight="1">
      <c r="A187" s="519"/>
      <c r="B187" s="520"/>
      <c r="C187" s="520"/>
      <c r="D187" s="520"/>
      <c r="E187" s="438" t="s">
        <v>501</v>
      </c>
      <c r="F187" s="438" t="s">
        <v>503</v>
      </c>
      <c r="G187" s="439">
        <v>4410000</v>
      </c>
      <c r="H187" s="431"/>
    </row>
    <row r="188" spans="1:8" ht="13.5" customHeight="1">
      <c r="A188" s="519"/>
      <c r="B188" s="520" t="s">
        <v>546</v>
      </c>
      <c r="C188" s="520" t="s">
        <v>514</v>
      </c>
      <c r="D188" s="520" t="s">
        <v>515</v>
      </c>
      <c r="E188" s="438" t="s">
        <v>539</v>
      </c>
      <c r="F188" s="438" t="s">
        <v>615</v>
      </c>
      <c r="G188" s="439">
        <v>3340000</v>
      </c>
      <c r="H188" s="431"/>
    </row>
    <row r="189" spans="1:8" ht="13.5" customHeight="1">
      <c r="A189" s="519"/>
      <c r="B189" s="520"/>
      <c r="C189" s="520"/>
      <c r="D189" s="520"/>
      <c r="E189" s="520" t="s">
        <v>561</v>
      </c>
      <c r="F189" s="438" t="s">
        <v>562</v>
      </c>
      <c r="G189" s="439">
        <v>760000</v>
      </c>
      <c r="H189" s="431"/>
    </row>
    <row r="190" spans="1:8" ht="13.5" customHeight="1">
      <c r="A190" s="519"/>
      <c r="B190" s="520"/>
      <c r="C190" s="520"/>
      <c r="D190" s="520"/>
      <c r="E190" s="520"/>
      <c r="F190" s="438" t="s">
        <v>563</v>
      </c>
      <c r="G190" s="439">
        <v>600000</v>
      </c>
      <c r="H190" s="431"/>
    </row>
    <row r="191" spans="1:8" ht="13.5" customHeight="1">
      <c r="A191" s="519"/>
      <c r="B191" s="520"/>
      <c r="C191" s="520"/>
      <c r="D191" s="520"/>
      <c r="E191" s="520"/>
      <c r="F191" s="438" t="s">
        <v>564</v>
      </c>
      <c r="G191" s="439">
        <v>600000</v>
      </c>
      <c r="H191" s="431"/>
    </row>
    <row r="192" spans="1:8" ht="13.5" customHeight="1">
      <c r="A192" s="519"/>
      <c r="B192" s="520"/>
      <c r="C192" s="438" t="s">
        <v>547</v>
      </c>
      <c r="D192" s="438" t="s">
        <v>548</v>
      </c>
      <c r="E192" s="438" t="s">
        <v>543</v>
      </c>
      <c r="F192" s="438" t="s">
        <v>544</v>
      </c>
      <c r="G192" s="439">
        <v>20600000</v>
      </c>
      <c r="H192" s="431"/>
    </row>
    <row r="193" spans="1:8" ht="13.5" customHeight="1">
      <c r="A193" s="519"/>
      <c r="B193" s="520" t="s">
        <v>496</v>
      </c>
      <c r="C193" s="520" t="s">
        <v>497</v>
      </c>
      <c r="D193" s="520" t="s">
        <v>498</v>
      </c>
      <c r="E193" s="438" t="s">
        <v>499</v>
      </c>
      <c r="F193" s="438" t="s">
        <v>500</v>
      </c>
      <c r="G193" s="439">
        <v>2900000</v>
      </c>
      <c r="H193" s="431"/>
    </row>
    <row r="194" spans="1:8" ht="13.5" customHeight="1">
      <c r="A194" s="519"/>
      <c r="B194" s="520"/>
      <c r="C194" s="520"/>
      <c r="D194" s="520"/>
      <c r="E194" s="438" t="s">
        <v>565</v>
      </c>
      <c r="F194" s="438" t="s">
        <v>566</v>
      </c>
      <c r="G194" s="439">
        <v>11500000</v>
      </c>
      <c r="H194" s="431"/>
    </row>
    <row r="195" spans="1:8" ht="13.5" customHeight="1">
      <c r="A195" s="519"/>
      <c r="B195" s="520"/>
      <c r="C195" s="520"/>
      <c r="D195" s="520"/>
      <c r="E195" s="438" t="s">
        <v>501</v>
      </c>
      <c r="F195" s="438" t="s">
        <v>502</v>
      </c>
      <c r="G195" s="439">
        <v>240000</v>
      </c>
      <c r="H195" s="431"/>
    </row>
    <row r="196" spans="1:8" ht="13.5" customHeight="1">
      <c r="A196" s="519"/>
      <c r="B196" s="520"/>
      <c r="C196" s="520"/>
      <c r="D196" s="520"/>
      <c r="E196" s="438" t="s">
        <v>543</v>
      </c>
      <c r="F196" s="438" t="s">
        <v>544</v>
      </c>
      <c r="G196" s="439">
        <v>360000</v>
      </c>
      <c r="H196" s="431"/>
    </row>
    <row r="197" spans="1:8" ht="13.5" customHeight="1">
      <c r="A197" s="519"/>
      <c r="B197" s="520" t="s">
        <v>504</v>
      </c>
      <c r="C197" s="520" t="s">
        <v>519</v>
      </c>
      <c r="D197" s="520" t="s">
        <v>602</v>
      </c>
      <c r="E197" s="520" t="s">
        <v>574</v>
      </c>
      <c r="F197" s="438" t="s">
        <v>575</v>
      </c>
      <c r="G197" s="439">
        <v>50880000</v>
      </c>
      <c r="H197" s="431"/>
    </row>
    <row r="198" spans="1:8" ht="13.5" customHeight="1">
      <c r="A198" s="519"/>
      <c r="B198" s="520"/>
      <c r="C198" s="520"/>
      <c r="D198" s="520"/>
      <c r="E198" s="520"/>
      <c r="F198" s="438" t="s">
        <v>576</v>
      </c>
      <c r="G198" s="439">
        <v>14400000</v>
      </c>
      <c r="H198" s="431"/>
    </row>
    <row r="199" spans="1:8" ht="13.5" customHeight="1">
      <c r="A199" s="519"/>
      <c r="B199" s="520"/>
      <c r="C199" s="520"/>
      <c r="D199" s="520"/>
      <c r="E199" s="520"/>
      <c r="F199" s="438" t="s">
        <v>578</v>
      </c>
      <c r="G199" s="439">
        <v>10500000</v>
      </c>
      <c r="H199" s="431"/>
    </row>
    <row r="200" spans="1:8" ht="13.5" customHeight="1">
      <c r="A200" s="519"/>
      <c r="B200" s="520"/>
      <c r="C200" s="520"/>
      <c r="D200" s="520"/>
      <c r="E200" s="520"/>
      <c r="F200" s="438" t="s">
        <v>616</v>
      </c>
      <c r="G200" s="439">
        <v>9000000</v>
      </c>
      <c r="H200" s="431"/>
    </row>
    <row r="201" spans="1:8" ht="13.5" customHeight="1">
      <c r="A201" s="519"/>
      <c r="B201" s="520"/>
      <c r="C201" s="520"/>
      <c r="D201" s="520"/>
      <c r="E201" s="520"/>
      <c r="F201" s="438" t="s">
        <v>593</v>
      </c>
      <c r="G201" s="439">
        <v>78000000</v>
      </c>
      <c r="H201" s="431"/>
    </row>
    <row r="202" spans="1:8" ht="13.5" customHeight="1">
      <c r="A202" s="519"/>
      <c r="B202" s="520"/>
      <c r="C202" s="520"/>
      <c r="D202" s="520"/>
      <c r="E202" s="520"/>
      <c r="F202" s="438" t="s">
        <v>579</v>
      </c>
      <c r="G202" s="439">
        <v>51270000</v>
      </c>
      <c r="H202" s="431"/>
    </row>
    <row r="203" spans="1:8" ht="13.5" customHeight="1">
      <c r="A203" s="519"/>
      <c r="B203" s="520"/>
      <c r="C203" s="520"/>
      <c r="D203" s="520"/>
      <c r="E203" s="438" t="s">
        <v>561</v>
      </c>
      <c r="F203" s="438" t="s">
        <v>563</v>
      </c>
      <c r="G203" s="439">
        <v>8880000</v>
      </c>
      <c r="H203" s="431"/>
    </row>
    <row r="204" spans="1:8" ht="13.5" customHeight="1">
      <c r="A204" s="519"/>
      <c r="B204" s="520"/>
      <c r="C204" s="520"/>
      <c r="D204" s="520"/>
      <c r="E204" s="438" t="s">
        <v>565</v>
      </c>
      <c r="F204" s="438" t="s">
        <v>566</v>
      </c>
      <c r="G204" s="439">
        <v>16700000</v>
      </c>
      <c r="H204" s="431"/>
    </row>
    <row r="205" spans="1:8" ht="13.5" customHeight="1">
      <c r="A205" s="519"/>
      <c r="B205" s="520"/>
      <c r="C205" s="520"/>
      <c r="D205" s="520" t="s">
        <v>573</v>
      </c>
      <c r="E205" s="520" t="s">
        <v>574</v>
      </c>
      <c r="F205" s="438" t="s">
        <v>575</v>
      </c>
      <c r="G205" s="439">
        <v>37170000</v>
      </c>
      <c r="H205" s="431"/>
    </row>
    <row r="206" spans="1:8" ht="13.5" customHeight="1">
      <c r="A206" s="519"/>
      <c r="B206" s="520"/>
      <c r="C206" s="520"/>
      <c r="D206" s="520"/>
      <c r="E206" s="520"/>
      <c r="F206" s="438" t="s">
        <v>576</v>
      </c>
      <c r="G206" s="439">
        <v>8000000</v>
      </c>
      <c r="H206" s="431"/>
    </row>
    <row r="207" spans="1:8" ht="13.5" customHeight="1">
      <c r="A207" s="519"/>
      <c r="B207" s="520"/>
      <c r="C207" s="520"/>
      <c r="D207" s="520"/>
      <c r="E207" s="520"/>
      <c r="F207" s="438" t="s">
        <v>578</v>
      </c>
      <c r="G207" s="439">
        <v>1000000</v>
      </c>
      <c r="H207" s="431"/>
    </row>
    <row r="208" spans="1:8" ht="13.5" customHeight="1">
      <c r="A208" s="519"/>
      <c r="B208" s="520"/>
      <c r="C208" s="520"/>
      <c r="D208" s="520"/>
      <c r="E208" s="520"/>
      <c r="F208" s="438" t="s">
        <v>616</v>
      </c>
      <c r="G208" s="439">
        <v>4400000</v>
      </c>
      <c r="H208" s="431"/>
    </row>
    <row r="209" spans="1:8" ht="13.5" customHeight="1">
      <c r="A209" s="519"/>
      <c r="B209" s="520"/>
      <c r="C209" s="520"/>
      <c r="D209" s="520"/>
      <c r="E209" s="520"/>
      <c r="F209" s="438" t="s">
        <v>593</v>
      </c>
      <c r="G209" s="439">
        <v>53690000</v>
      </c>
      <c r="H209" s="431"/>
    </row>
    <row r="210" spans="1:8" ht="13.5" customHeight="1">
      <c r="A210" s="519"/>
      <c r="B210" s="520"/>
      <c r="C210" s="520"/>
      <c r="D210" s="520"/>
      <c r="E210" s="520"/>
      <c r="F210" s="438" t="s">
        <v>579</v>
      </c>
      <c r="G210" s="439">
        <v>34220000</v>
      </c>
      <c r="H210" s="431"/>
    </row>
    <row r="211" spans="1:8" ht="13.5" customHeight="1">
      <c r="A211" s="519"/>
      <c r="B211" s="520"/>
      <c r="C211" s="520"/>
      <c r="D211" s="520"/>
      <c r="E211" s="438" t="s">
        <v>565</v>
      </c>
      <c r="F211" s="438" t="s">
        <v>566</v>
      </c>
      <c r="G211" s="439">
        <v>2000000</v>
      </c>
      <c r="H211" s="431"/>
    </row>
    <row r="212" spans="1:8" ht="13.5" customHeight="1">
      <c r="A212" s="519"/>
      <c r="B212" s="520"/>
      <c r="C212" s="520" t="s">
        <v>497</v>
      </c>
      <c r="D212" s="520" t="s">
        <v>498</v>
      </c>
      <c r="E212" s="438" t="s">
        <v>499</v>
      </c>
      <c r="F212" s="438" t="s">
        <v>500</v>
      </c>
      <c r="G212" s="439">
        <v>1000000</v>
      </c>
      <c r="H212" s="431"/>
    </row>
    <row r="213" spans="1:8" ht="13.5" customHeight="1">
      <c r="A213" s="519"/>
      <c r="B213" s="520"/>
      <c r="C213" s="520"/>
      <c r="D213" s="520"/>
      <c r="E213" s="520" t="s">
        <v>574</v>
      </c>
      <c r="F213" s="438" t="s">
        <v>575</v>
      </c>
      <c r="G213" s="439">
        <v>66339000</v>
      </c>
      <c r="H213" s="431"/>
    </row>
    <row r="214" spans="1:8" ht="13.5" customHeight="1">
      <c r="A214" s="519"/>
      <c r="B214" s="520"/>
      <c r="C214" s="520"/>
      <c r="D214" s="520"/>
      <c r="E214" s="520"/>
      <c r="F214" s="438" t="s">
        <v>576</v>
      </c>
      <c r="G214" s="439">
        <v>17600000</v>
      </c>
      <c r="H214" s="431"/>
    </row>
    <row r="215" spans="1:8" ht="13.5" customHeight="1" hidden="1">
      <c r="A215" s="519"/>
      <c r="B215" s="520"/>
      <c r="C215" s="520"/>
      <c r="D215" s="520"/>
      <c r="E215" s="520"/>
      <c r="F215" s="438" t="s">
        <v>603</v>
      </c>
      <c r="G215" s="439">
        <v>0</v>
      </c>
      <c r="H215" s="431"/>
    </row>
    <row r="216" spans="1:8" ht="13.5" customHeight="1" hidden="1">
      <c r="A216" s="519"/>
      <c r="B216" s="520"/>
      <c r="C216" s="520"/>
      <c r="D216" s="520"/>
      <c r="E216" s="520"/>
      <c r="F216" s="438" t="s">
        <v>577</v>
      </c>
      <c r="G216" s="439">
        <v>0</v>
      </c>
      <c r="H216" s="431"/>
    </row>
    <row r="217" spans="1:8" ht="13.5" customHeight="1">
      <c r="A217" s="519"/>
      <c r="B217" s="520"/>
      <c r="C217" s="520"/>
      <c r="D217" s="520"/>
      <c r="E217" s="520"/>
      <c r="F217" s="438" t="s">
        <v>578</v>
      </c>
      <c r="G217" s="439">
        <v>12600000</v>
      </c>
      <c r="H217" s="431"/>
    </row>
    <row r="218" spans="1:8" ht="13.5" customHeight="1">
      <c r="A218" s="519"/>
      <c r="B218" s="520"/>
      <c r="C218" s="520"/>
      <c r="D218" s="520"/>
      <c r="E218" s="520"/>
      <c r="F218" s="438" t="s">
        <v>579</v>
      </c>
      <c r="G218" s="439">
        <v>16989000</v>
      </c>
      <c r="H218" s="431"/>
    </row>
    <row r="219" spans="1:8" ht="13.5" customHeight="1">
      <c r="A219" s="519"/>
      <c r="B219" s="520"/>
      <c r="C219" s="520"/>
      <c r="D219" s="520"/>
      <c r="E219" s="520" t="s">
        <v>561</v>
      </c>
      <c r="F219" s="438" t="s">
        <v>562</v>
      </c>
      <c r="G219" s="439">
        <v>2722000</v>
      </c>
      <c r="H219" s="431"/>
    </row>
    <row r="220" spans="1:8" ht="13.5" customHeight="1">
      <c r="A220" s="519"/>
      <c r="B220" s="520"/>
      <c r="C220" s="520"/>
      <c r="D220" s="520"/>
      <c r="E220" s="520"/>
      <c r="F220" s="438" t="s">
        <v>563</v>
      </c>
      <c r="G220" s="439">
        <v>5020000</v>
      </c>
      <c r="H220" s="431"/>
    </row>
    <row r="221" spans="1:8" ht="13.5" customHeight="1">
      <c r="A221" s="519"/>
      <c r="B221" s="520"/>
      <c r="C221" s="520"/>
      <c r="D221" s="520"/>
      <c r="E221" s="520"/>
      <c r="F221" s="438" t="s">
        <v>564</v>
      </c>
      <c r="G221" s="439">
        <v>3300000</v>
      </c>
      <c r="H221" s="431"/>
    </row>
    <row r="222" spans="1:8" ht="13.5" customHeight="1">
      <c r="A222" s="519"/>
      <c r="B222" s="520"/>
      <c r="C222" s="520"/>
      <c r="D222" s="520"/>
      <c r="E222" s="438" t="s">
        <v>505</v>
      </c>
      <c r="F222" s="438" t="s">
        <v>506</v>
      </c>
      <c r="G222" s="439">
        <v>119430000</v>
      </c>
      <c r="H222" s="431"/>
    </row>
    <row r="223" spans="1:8" ht="13.5" customHeight="1">
      <c r="A223" s="519"/>
      <c r="B223" s="520"/>
      <c r="C223" s="520"/>
      <c r="D223" s="520" t="s">
        <v>588</v>
      </c>
      <c r="E223" s="520" t="s">
        <v>574</v>
      </c>
      <c r="F223" s="438" t="s">
        <v>575</v>
      </c>
      <c r="G223" s="439">
        <v>136823000</v>
      </c>
      <c r="H223" s="431"/>
    </row>
    <row r="224" spans="1:8" ht="13.5" customHeight="1">
      <c r="A224" s="519"/>
      <c r="B224" s="520"/>
      <c r="C224" s="520"/>
      <c r="D224" s="520"/>
      <c r="E224" s="520"/>
      <c r="F224" s="438" t="s">
        <v>576</v>
      </c>
      <c r="G224" s="439">
        <v>30800000</v>
      </c>
      <c r="H224" s="431"/>
    </row>
    <row r="225" spans="1:8" ht="13.5" customHeight="1">
      <c r="A225" s="519"/>
      <c r="B225" s="520"/>
      <c r="C225" s="520"/>
      <c r="D225" s="520"/>
      <c r="E225" s="520"/>
      <c r="F225" s="438" t="s">
        <v>603</v>
      </c>
      <c r="G225" s="439">
        <v>14660000</v>
      </c>
      <c r="H225" s="431"/>
    </row>
    <row r="226" spans="1:8" ht="13.5" customHeight="1">
      <c r="A226" s="519"/>
      <c r="B226" s="520"/>
      <c r="C226" s="520"/>
      <c r="D226" s="520"/>
      <c r="E226" s="520"/>
      <c r="F226" s="438" t="s">
        <v>578</v>
      </c>
      <c r="G226" s="439">
        <v>8600000</v>
      </c>
      <c r="H226" s="431"/>
    </row>
    <row r="227" spans="1:8" ht="13.5" customHeight="1">
      <c r="A227" s="519"/>
      <c r="B227" s="520"/>
      <c r="C227" s="520"/>
      <c r="D227" s="520"/>
      <c r="E227" s="520"/>
      <c r="F227" s="438" t="s">
        <v>616</v>
      </c>
      <c r="G227" s="439">
        <v>28000000</v>
      </c>
      <c r="H227" s="431"/>
    </row>
    <row r="228" spans="1:8" ht="13.5" customHeight="1">
      <c r="A228" s="519"/>
      <c r="B228" s="520"/>
      <c r="C228" s="520"/>
      <c r="D228" s="520"/>
      <c r="E228" s="520"/>
      <c r="F228" s="438" t="s">
        <v>593</v>
      </c>
      <c r="G228" s="439">
        <v>241605000</v>
      </c>
      <c r="H228" s="431"/>
    </row>
    <row r="229" spans="1:8" ht="13.5" customHeight="1">
      <c r="A229" s="519"/>
      <c r="B229" s="520"/>
      <c r="C229" s="520"/>
      <c r="D229" s="520"/>
      <c r="E229" s="520"/>
      <c r="F229" s="438" t="s">
        <v>579</v>
      </c>
      <c r="G229" s="439">
        <v>234985000</v>
      </c>
      <c r="H229" s="431"/>
    </row>
    <row r="230" spans="1:8" ht="13.5" customHeight="1">
      <c r="A230" s="519"/>
      <c r="B230" s="520"/>
      <c r="C230" s="520"/>
      <c r="D230" s="520"/>
      <c r="E230" s="438" t="s">
        <v>561</v>
      </c>
      <c r="F230" s="438" t="s">
        <v>563</v>
      </c>
      <c r="G230" s="439">
        <v>8550000</v>
      </c>
      <c r="H230" s="431"/>
    </row>
    <row r="231" spans="1:8" ht="13.5" customHeight="1">
      <c r="A231" s="519"/>
      <c r="B231" s="520"/>
      <c r="C231" s="520"/>
      <c r="D231" s="520"/>
      <c r="E231" s="438" t="s">
        <v>565</v>
      </c>
      <c r="F231" s="438" t="s">
        <v>566</v>
      </c>
      <c r="G231" s="439">
        <v>26000000</v>
      </c>
      <c r="H231" s="431"/>
    </row>
    <row r="232" spans="1:8" ht="13.5" customHeight="1">
      <c r="A232" s="519"/>
      <c r="B232" s="520"/>
      <c r="C232" s="520" t="s">
        <v>514</v>
      </c>
      <c r="D232" s="520" t="s">
        <v>515</v>
      </c>
      <c r="E232" s="438" t="s">
        <v>539</v>
      </c>
      <c r="F232" s="438" t="s">
        <v>615</v>
      </c>
      <c r="G232" s="439">
        <v>1860000</v>
      </c>
      <c r="H232" s="431"/>
    </row>
    <row r="233" spans="1:8" ht="13.5" customHeight="1" hidden="1">
      <c r="A233" s="519"/>
      <c r="B233" s="520"/>
      <c r="C233" s="520"/>
      <c r="D233" s="520"/>
      <c r="E233" s="438" t="s">
        <v>499</v>
      </c>
      <c r="F233" s="438" t="s">
        <v>500</v>
      </c>
      <c r="G233" s="439">
        <v>0</v>
      </c>
      <c r="H233" s="431"/>
    </row>
    <row r="234" spans="1:8" ht="13.5" customHeight="1">
      <c r="A234" s="519"/>
      <c r="B234" s="520"/>
      <c r="C234" s="520"/>
      <c r="D234" s="520"/>
      <c r="E234" s="438" t="s">
        <v>559</v>
      </c>
      <c r="F234" s="438" t="s">
        <v>560</v>
      </c>
      <c r="G234" s="439">
        <v>72000000</v>
      </c>
      <c r="H234" s="431"/>
    </row>
    <row r="235" spans="1:8" ht="13.5" customHeight="1">
      <c r="A235" s="519"/>
      <c r="B235" s="520"/>
      <c r="C235" s="520"/>
      <c r="D235" s="520"/>
      <c r="E235" s="520" t="s">
        <v>574</v>
      </c>
      <c r="F235" s="438" t="s">
        <v>575</v>
      </c>
      <c r="G235" s="439">
        <v>167746000</v>
      </c>
      <c r="H235" s="431"/>
    </row>
    <row r="236" spans="1:8" ht="13.5" customHeight="1">
      <c r="A236" s="519"/>
      <c r="B236" s="520"/>
      <c r="C236" s="520"/>
      <c r="D236" s="520"/>
      <c r="E236" s="520"/>
      <c r="F236" s="438" t="s">
        <v>576</v>
      </c>
      <c r="G236" s="439">
        <v>18400000</v>
      </c>
      <c r="H236" s="431"/>
    </row>
    <row r="237" spans="1:8" ht="13.5" customHeight="1">
      <c r="A237" s="519"/>
      <c r="B237" s="520"/>
      <c r="C237" s="520"/>
      <c r="D237" s="520"/>
      <c r="E237" s="520"/>
      <c r="F237" s="438" t="s">
        <v>603</v>
      </c>
      <c r="G237" s="439">
        <v>6670000</v>
      </c>
      <c r="H237" s="431"/>
    </row>
    <row r="238" spans="1:8" ht="13.5" customHeight="1">
      <c r="A238" s="519"/>
      <c r="B238" s="520"/>
      <c r="C238" s="520"/>
      <c r="D238" s="520"/>
      <c r="E238" s="520"/>
      <c r="F238" s="438" t="s">
        <v>578</v>
      </c>
      <c r="G238" s="439">
        <v>13200000</v>
      </c>
      <c r="H238" s="431"/>
    </row>
    <row r="239" spans="1:8" ht="13.5" customHeight="1">
      <c r="A239" s="519"/>
      <c r="B239" s="520"/>
      <c r="C239" s="520"/>
      <c r="D239" s="520"/>
      <c r="E239" s="520"/>
      <c r="F239" s="438" t="s">
        <v>616</v>
      </c>
      <c r="G239" s="439">
        <v>8300000.000000001</v>
      </c>
      <c r="H239" s="431"/>
    </row>
    <row r="240" spans="1:8" ht="13.5" customHeight="1">
      <c r="A240" s="519"/>
      <c r="B240" s="520"/>
      <c r="C240" s="520"/>
      <c r="D240" s="520"/>
      <c r="E240" s="520"/>
      <c r="F240" s="438" t="s">
        <v>593</v>
      </c>
      <c r="G240" s="439">
        <v>55640000</v>
      </c>
      <c r="H240" s="431"/>
    </row>
    <row r="241" spans="1:8" ht="13.5" customHeight="1">
      <c r="A241" s="519"/>
      <c r="B241" s="520"/>
      <c r="C241" s="520"/>
      <c r="D241" s="520"/>
      <c r="E241" s="520"/>
      <c r="F241" s="438" t="s">
        <v>579</v>
      </c>
      <c r="G241" s="439">
        <v>266244000.00000003</v>
      </c>
      <c r="H241" s="431"/>
    </row>
    <row r="242" spans="1:8" ht="13.5" customHeight="1">
      <c r="A242" s="519"/>
      <c r="B242" s="520"/>
      <c r="C242" s="520"/>
      <c r="D242" s="520"/>
      <c r="E242" s="520" t="s">
        <v>561</v>
      </c>
      <c r="F242" s="438" t="s">
        <v>562</v>
      </c>
      <c r="G242" s="439">
        <v>480000</v>
      </c>
      <c r="H242" s="431"/>
    </row>
    <row r="243" spans="1:8" ht="13.5" customHeight="1">
      <c r="A243" s="519"/>
      <c r="B243" s="520"/>
      <c r="C243" s="520"/>
      <c r="D243" s="520"/>
      <c r="E243" s="520"/>
      <c r="F243" s="438" t="s">
        <v>563</v>
      </c>
      <c r="G243" s="439">
        <v>52700000</v>
      </c>
      <c r="H243" s="431"/>
    </row>
    <row r="244" spans="1:8" ht="13.5" customHeight="1">
      <c r="A244" s="519"/>
      <c r="B244" s="520"/>
      <c r="C244" s="520"/>
      <c r="D244" s="520"/>
      <c r="E244" s="520"/>
      <c r="F244" s="438" t="s">
        <v>564</v>
      </c>
      <c r="G244" s="439">
        <v>50814000</v>
      </c>
      <c r="H244" s="431"/>
    </row>
    <row r="245" spans="1:8" ht="13.5" customHeight="1">
      <c r="A245" s="519"/>
      <c r="B245" s="520"/>
      <c r="C245" s="520"/>
      <c r="D245" s="520"/>
      <c r="E245" s="438" t="s">
        <v>565</v>
      </c>
      <c r="F245" s="438" t="s">
        <v>566</v>
      </c>
      <c r="G245" s="439">
        <v>76510000</v>
      </c>
      <c r="H245" s="431"/>
    </row>
    <row r="246" spans="1:8" ht="13.5" customHeight="1">
      <c r="A246" s="519"/>
      <c r="B246" s="520"/>
      <c r="C246" s="520"/>
      <c r="D246" s="520"/>
      <c r="E246" s="520" t="s">
        <v>501</v>
      </c>
      <c r="F246" s="438" t="s">
        <v>502</v>
      </c>
      <c r="G246" s="439">
        <v>7000000</v>
      </c>
      <c r="H246" s="431"/>
    </row>
    <row r="247" spans="1:8" ht="13.5" customHeight="1">
      <c r="A247" s="519"/>
      <c r="B247" s="520"/>
      <c r="C247" s="520"/>
      <c r="D247" s="520"/>
      <c r="E247" s="520"/>
      <c r="F247" s="438" t="s">
        <v>503</v>
      </c>
      <c r="G247" s="439">
        <v>65300000</v>
      </c>
      <c r="H247" s="431"/>
    </row>
    <row r="248" spans="1:8" ht="13.5" customHeight="1">
      <c r="A248" s="519"/>
      <c r="B248" s="520"/>
      <c r="C248" s="520"/>
      <c r="D248" s="520"/>
      <c r="E248" s="520" t="s">
        <v>543</v>
      </c>
      <c r="F248" s="438" t="s">
        <v>601</v>
      </c>
      <c r="G248" s="439">
        <v>16500</v>
      </c>
      <c r="H248" s="431"/>
    </row>
    <row r="249" spans="1:8" ht="13.5" customHeight="1">
      <c r="A249" s="519"/>
      <c r="B249" s="520"/>
      <c r="C249" s="520"/>
      <c r="D249" s="520"/>
      <c r="E249" s="520"/>
      <c r="F249" s="438" t="s">
        <v>544</v>
      </c>
      <c r="G249" s="439">
        <v>5140000</v>
      </c>
      <c r="H249" s="431"/>
    </row>
    <row r="250" spans="1:8" ht="13.5" customHeight="1">
      <c r="A250" s="519"/>
      <c r="B250" s="520"/>
      <c r="C250" s="520" t="s">
        <v>580</v>
      </c>
      <c r="D250" s="520" t="s">
        <v>581</v>
      </c>
      <c r="E250" s="438" t="s">
        <v>539</v>
      </c>
      <c r="F250" s="438" t="s">
        <v>615</v>
      </c>
      <c r="G250" s="439">
        <v>18062000</v>
      </c>
      <c r="H250" s="431"/>
    </row>
    <row r="251" spans="1:8" ht="13.5" customHeight="1">
      <c r="A251" s="519"/>
      <c r="B251" s="520"/>
      <c r="C251" s="520"/>
      <c r="D251" s="520"/>
      <c r="E251" s="520" t="s">
        <v>574</v>
      </c>
      <c r="F251" s="438" t="s">
        <v>575</v>
      </c>
      <c r="G251" s="439">
        <v>52206000</v>
      </c>
      <c r="H251" s="431"/>
    </row>
    <row r="252" spans="1:8" ht="13.5" customHeight="1">
      <c r="A252" s="519"/>
      <c r="B252" s="520"/>
      <c r="C252" s="520"/>
      <c r="D252" s="520"/>
      <c r="E252" s="520"/>
      <c r="F252" s="438" t="s">
        <v>576</v>
      </c>
      <c r="G252" s="439">
        <v>3100000</v>
      </c>
      <c r="H252" s="431"/>
    </row>
    <row r="253" spans="1:8" ht="13.5" customHeight="1">
      <c r="A253" s="519"/>
      <c r="B253" s="520"/>
      <c r="C253" s="520"/>
      <c r="D253" s="520"/>
      <c r="E253" s="520"/>
      <c r="F253" s="438" t="s">
        <v>578</v>
      </c>
      <c r="G253" s="439">
        <v>15000000</v>
      </c>
      <c r="H253" s="431"/>
    </row>
    <row r="254" spans="1:8" ht="13.5" customHeight="1">
      <c r="A254" s="519"/>
      <c r="B254" s="520"/>
      <c r="C254" s="520"/>
      <c r="D254" s="520"/>
      <c r="E254" s="520"/>
      <c r="F254" s="438" t="s">
        <v>593</v>
      </c>
      <c r="G254" s="439">
        <v>37440000</v>
      </c>
      <c r="H254" s="431"/>
    </row>
    <row r="255" spans="1:8" ht="13.5" customHeight="1">
      <c r="A255" s="519"/>
      <c r="B255" s="520"/>
      <c r="C255" s="520"/>
      <c r="D255" s="520"/>
      <c r="E255" s="520"/>
      <c r="F255" s="438" t="s">
        <v>579</v>
      </c>
      <c r="G255" s="439">
        <v>41890000</v>
      </c>
      <c r="H255" s="431"/>
    </row>
    <row r="256" spans="1:8" ht="13.5" customHeight="1">
      <c r="A256" s="519"/>
      <c r="B256" s="520"/>
      <c r="C256" s="520"/>
      <c r="D256" s="520"/>
      <c r="E256" s="438" t="s">
        <v>561</v>
      </c>
      <c r="F256" s="438" t="s">
        <v>563</v>
      </c>
      <c r="G256" s="439">
        <v>4200000</v>
      </c>
      <c r="H256" s="431"/>
    </row>
    <row r="257" spans="1:8" ht="13.5" customHeight="1">
      <c r="A257" s="519"/>
      <c r="B257" s="520"/>
      <c r="C257" s="520"/>
      <c r="D257" s="520"/>
      <c r="E257" s="438" t="s">
        <v>565</v>
      </c>
      <c r="F257" s="438" t="s">
        <v>566</v>
      </c>
      <c r="G257" s="439">
        <v>34700000</v>
      </c>
      <c r="H257" s="431"/>
    </row>
    <row r="258" spans="1:8" ht="13.5" customHeight="1">
      <c r="A258" s="519"/>
      <c r="B258" s="520" t="s">
        <v>508</v>
      </c>
      <c r="C258" s="520" t="s">
        <v>514</v>
      </c>
      <c r="D258" s="520" t="s">
        <v>515</v>
      </c>
      <c r="E258" s="438" t="s">
        <v>499</v>
      </c>
      <c r="F258" s="438" t="s">
        <v>500</v>
      </c>
      <c r="G258" s="439">
        <v>6334552</v>
      </c>
      <c r="H258" s="431"/>
    </row>
    <row r="259" spans="1:8" ht="13.5" customHeight="1">
      <c r="A259" s="519"/>
      <c r="B259" s="520"/>
      <c r="C259" s="520"/>
      <c r="D259" s="520"/>
      <c r="E259" s="520" t="s">
        <v>574</v>
      </c>
      <c r="F259" s="438" t="s">
        <v>575</v>
      </c>
      <c r="G259" s="439">
        <v>14668350</v>
      </c>
      <c r="H259" s="431"/>
    </row>
    <row r="260" spans="1:8" ht="13.5" customHeight="1">
      <c r="A260" s="519"/>
      <c r="B260" s="520"/>
      <c r="C260" s="520"/>
      <c r="D260" s="520"/>
      <c r="E260" s="520"/>
      <c r="F260" s="438" t="s">
        <v>576</v>
      </c>
      <c r="G260" s="439">
        <v>3450000</v>
      </c>
      <c r="H260" s="431"/>
    </row>
    <row r="261" spans="1:8" ht="13.5" customHeight="1">
      <c r="A261" s="519"/>
      <c r="B261" s="520"/>
      <c r="C261" s="520"/>
      <c r="D261" s="520"/>
      <c r="E261" s="520"/>
      <c r="F261" s="438" t="s">
        <v>616</v>
      </c>
      <c r="G261" s="439">
        <v>150000</v>
      </c>
      <c r="H261" s="431"/>
    </row>
    <row r="262" spans="1:8" ht="13.5" customHeight="1">
      <c r="A262" s="519"/>
      <c r="B262" s="520"/>
      <c r="C262" s="520"/>
      <c r="D262" s="520"/>
      <c r="E262" s="520"/>
      <c r="F262" s="438" t="s">
        <v>593</v>
      </c>
      <c r="G262" s="439">
        <v>155471360</v>
      </c>
      <c r="H262" s="431"/>
    </row>
    <row r="263" spans="1:8" ht="13.5" customHeight="1">
      <c r="A263" s="519"/>
      <c r="B263" s="520"/>
      <c r="C263" s="520"/>
      <c r="D263" s="520"/>
      <c r="E263" s="520"/>
      <c r="F263" s="438" t="s">
        <v>579</v>
      </c>
      <c r="G263" s="439">
        <v>28564520</v>
      </c>
      <c r="H263" s="431"/>
    </row>
    <row r="264" spans="1:8" ht="13.5" customHeight="1">
      <c r="A264" s="519"/>
      <c r="B264" s="520"/>
      <c r="C264" s="520"/>
      <c r="D264" s="520"/>
      <c r="E264" s="520" t="s">
        <v>501</v>
      </c>
      <c r="F264" s="438" t="s">
        <v>502</v>
      </c>
      <c r="G264" s="439">
        <v>14236000</v>
      </c>
      <c r="H264" s="431"/>
    </row>
    <row r="265" spans="1:8" ht="13.5" customHeight="1">
      <c r="A265" s="519"/>
      <c r="B265" s="520"/>
      <c r="C265" s="520"/>
      <c r="D265" s="520"/>
      <c r="E265" s="520"/>
      <c r="F265" s="438" t="s">
        <v>503</v>
      </c>
      <c r="G265" s="439">
        <v>2200000</v>
      </c>
      <c r="H265" s="431"/>
    </row>
    <row r="266" spans="1:8" ht="13.5" customHeight="1">
      <c r="A266" s="519"/>
      <c r="B266" s="520"/>
      <c r="C266" s="520"/>
      <c r="D266" s="520"/>
      <c r="E266" s="520" t="s">
        <v>543</v>
      </c>
      <c r="F266" s="438" t="s">
        <v>617</v>
      </c>
      <c r="G266" s="439">
        <v>11731100</v>
      </c>
      <c r="H266" s="431"/>
    </row>
    <row r="267" spans="1:8" ht="13.5" customHeight="1">
      <c r="A267" s="519"/>
      <c r="B267" s="520"/>
      <c r="C267" s="520"/>
      <c r="D267" s="520"/>
      <c r="E267" s="520"/>
      <c r="F267" s="438" t="s">
        <v>544</v>
      </c>
      <c r="G267" s="439">
        <v>54020000</v>
      </c>
      <c r="H267" s="431"/>
    </row>
    <row r="268" spans="1:8" ht="13.5" customHeight="1" hidden="1">
      <c r="A268" s="519" t="s">
        <v>618</v>
      </c>
      <c r="B268" s="520"/>
      <c r="C268" s="520"/>
      <c r="D268" s="520"/>
      <c r="E268" s="520"/>
      <c r="F268" s="520"/>
      <c r="G268" s="520"/>
      <c r="H268" s="431"/>
    </row>
    <row r="269" spans="1:8" ht="13.5" customHeight="1" hidden="1">
      <c r="A269" s="519"/>
      <c r="B269" s="520"/>
      <c r="C269" s="520"/>
      <c r="D269" s="520"/>
      <c r="E269" s="520"/>
      <c r="F269" s="520"/>
      <c r="G269" s="520"/>
      <c r="H269" s="431"/>
    </row>
    <row r="270" spans="1:8" ht="10.5" customHeight="1" hidden="1">
      <c r="A270" s="519"/>
      <c r="B270" s="520"/>
      <c r="C270" s="520"/>
      <c r="D270" s="520"/>
      <c r="E270" s="520"/>
      <c r="F270" s="520"/>
      <c r="G270" s="520"/>
      <c r="H270" s="431"/>
    </row>
    <row r="271" spans="1:8" ht="10.5" customHeight="1" hidden="1">
      <c r="A271" s="519"/>
      <c r="B271" s="520"/>
      <c r="C271" s="520"/>
      <c r="D271" s="520"/>
      <c r="E271" s="520"/>
      <c r="F271" s="520"/>
      <c r="G271" s="520"/>
      <c r="H271" s="431"/>
    </row>
    <row r="272" spans="1:8" ht="13.5" customHeight="1" hidden="1">
      <c r="A272" s="519"/>
      <c r="B272" s="520"/>
      <c r="C272" s="520"/>
      <c r="D272" s="520"/>
      <c r="E272" s="520"/>
      <c r="F272" s="520"/>
      <c r="G272" s="520"/>
      <c r="H272" s="431"/>
    </row>
    <row r="273" spans="1:8" ht="13.5" customHeight="1" hidden="1">
      <c r="A273" s="519"/>
      <c r="B273" s="520"/>
      <c r="C273" s="520"/>
      <c r="D273" s="520"/>
      <c r="E273" s="520"/>
      <c r="F273" s="520"/>
      <c r="G273" s="520"/>
      <c r="H273" s="431"/>
    </row>
    <row r="274" spans="1:8" ht="13.5" customHeight="1" hidden="1">
      <c r="A274" s="519"/>
      <c r="B274" s="520"/>
      <c r="C274" s="520"/>
      <c r="D274" s="520"/>
      <c r="E274" s="520"/>
      <c r="F274" s="520"/>
      <c r="G274" s="520"/>
      <c r="H274" s="431"/>
    </row>
    <row r="275" spans="1:8" ht="13.5" customHeight="1" hidden="1">
      <c r="A275" s="519"/>
      <c r="B275" s="520"/>
      <c r="C275" s="520"/>
      <c r="D275" s="520"/>
      <c r="E275" s="520"/>
      <c r="F275" s="520"/>
      <c r="G275" s="520"/>
      <c r="H275" s="431"/>
    </row>
    <row r="276" spans="1:8" ht="13.5" customHeight="1" hidden="1">
      <c r="A276" s="519"/>
      <c r="B276" s="520"/>
      <c r="C276" s="520"/>
      <c r="D276" s="520"/>
      <c r="E276" s="520"/>
      <c r="F276" s="520"/>
      <c r="G276" s="520"/>
      <c r="H276" s="431"/>
    </row>
    <row r="277" spans="1:8" ht="13.5" customHeight="1" hidden="1">
      <c r="A277" s="519"/>
      <c r="B277" s="520"/>
      <c r="C277" s="520"/>
      <c r="D277" s="520"/>
      <c r="E277" s="520"/>
      <c r="F277" s="520"/>
      <c r="G277" s="520"/>
      <c r="H277" s="431"/>
    </row>
    <row r="278" spans="1:8" ht="13.5" customHeight="1" hidden="1">
      <c r="A278" s="519"/>
      <c r="B278" s="520"/>
      <c r="C278" s="520"/>
      <c r="D278" s="520"/>
      <c r="E278" s="520"/>
      <c r="F278" s="520"/>
      <c r="G278" s="520"/>
      <c r="H278" s="431"/>
    </row>
    <row r="279" spans="1:8" ht="13.5" customHeight="1">
      <c r="A279" s="519" t="s">
        <v>622</v>
      </c>
      <c r="B279" s="438" t="s">
        <v>496</v>
      </c>
      <c r="C279" s="438" t="s">
        <v>497</v>
      </c>
      <c r="D279" s="438" t="s">
        <v>498</v>
      </c>
      <c r="E279" s="438" t="s">
        <v>501</v>
      </c>
      <c r="F279" s="438" t="s">
        <v>503</v>
      </c>
      <c r="G279" s="439">
        <v>1164640000</v>
      </c>
      <c r="H279" s="431"/>
    </row>
    <row r="280" spans="1:8" ht="13.5" customHeight="1">
      <c r="A280" s="519"/>
      <c r="B280" s="520" t="s">
        <v>552</v>
      </c>
      <c r="C280" s="520" t="s">
        <v>497</v>
      </c>
      <c r="D280" s="520" t="s">
        <v>509</v>
      </c>
      <c r="E280" s="520" t="s">
        <v>510</v>
      </c>
      <c r="F280" s="438" t="s">
        <v>511</v>
      </c>
      <c r="G280" s="439">
        <v>1448147000</v>
      </c>
      <c r="H280" s="431"/>
    </row>
    <row r="281" spans="1:8" ht="13.5" customHeight="1">
      <c r="A281" s="519"/>
      <c r="B281" s="520"/>
      <c r="C281" s="520"/>
      <c r="D281" s="520"/>
      <c r="E281" s="520"/>
      <c r="F281" s="438" t="s">
        <v>623</v>
      </c>
      <c r="G281" s="439">
        <v>348228000</v>
      </c>
      <c r="H281" s="431"/>
    </row>
    <row r="282" spans="1:8" ht="13.5" customHeight="1">
      <c r="A282" s="519"/>
      <c r="B282" s="520" t="s">
        <v>508</v>
      </c>
      <c r="C282" s="438" t="s">
        <v>624</v>
      </c>
      <c r="D282" s="438" t="s">
        <v>625</v>
      </c>
      <c r="E282" s="438" t="s">
        <v>543</v>
      </c>
      <c r="F282" s="438" t="s">
        <v>601</v>
      </c>
      <c r="G282" s="439">
        <v>5400000</v>
      </c>
      <c r="H282" s="431"/>
    </row>
    <row r="283" spans="1:8" ht="13.5" customHeight="1">
      <c r="A283" s="519"/>
      <c r="B283" s="520"/>
      <c r="C283" s="520" t="s">
        <v>497</v>
      </c>
      <c r="D283" s="520" t="s">
        <v>542</v>
      </c>
      <c r="E283" s="520" t="s">
        <v>553</v>
      </c>
      <c r="F283" s="438" t="s">
        <v>626</v>
      </c>
      <c r="G283" s="439">
        <v>22130000</v>
      </c>
      <c r="H283" s="431"/>
    </row>
    <row r="284" spans="1:8" ht="13.5" customHeight="1">
      <c r="A284" s="519"/>
      <c r="B284" s="520"/>
      <c r="C284" s="520"/>
      <c r="D284" s="520"/>
      <c r="E284" s="520"/>
      <c r="F284" s="438" t="s">
        <v>627</v>
      </c>
      <c r="G284" s="439">
        <v>733924600</v>
      </c>
      <c r="H284" s="431"/>
    </row>
    <row r="285" spans="1:8" ht="13.5" customHeight="1">
      <c r="A285" s="519"/>
      <c r="B285" s="520"/>
      <c r="C285" s="520"/>
      <c r="D285" s="520"/>
      <c r="E285" s="520"/>
      <c r="F285" s="438" t="s">
        <v>628</v>
      </c>
      <c r="G285" s="439">
        <v>50370000</v>
      </c>
      <c r="H285" s="431"/>
    </row>
    <row r="286" spans="1:8" ht="13.5" customHeight="1">
      <c r="A286" s="519"/>
      <c r="B286" s="520"/>
      <c r="C286" s="520"/>
      <c r="D286" s="520"/>
      <c r="E286" s="520"/>
      <c r="F286" s="438" t="s">
        <v>554</v>
      </c>
      <c r="G286" s="439">
        <v>988107203</v>
      </c>
      <c r="H286" s="431"/>
    </row>
    <row r="287" spans="1:8" ht="13.5" customHeight="1">
      <c r="A287" s="519"/>
      <c r="B287" s="520"/>
      <c r="C287" s="520"/>
      <c r="D287" s="520"/>
      <c r="E287" s="520"/>
      <c r="F287" s="438" t="s">
        <v>629</v>
      </c>
      <c r="G287" s="439">
        <v>8151000</v>
      </c>
      <c r="H287" s="431"/>
    </row>
    <row r="288" spans="1:8" ht="13.5" customHeight="1">
      <c r="A288" s="519"/>
      <c r="B288" s="520"/>
      <c r="C288" s="520"/>
      <c r="D288" s="520"/>
      <c r="E288" s="438" t="s">
        <v>543</v>
      </c>
      <c r="F288" s="438" t="s">
        <v>544</v>
      </c>
      <c r="G288" s="439">
        <v>54000000</v>
      </c>
      <c r="H288" s="431"/>
    </row>
    <row r="289" spans="1:8" ht="13.5" customHeight="1">
      <c r="A289" s="519"/>
      <c r="B289" s="520"/>
      <c r="C289" s="520"/>
      <c r="D289" s="520" t="s">
        <v>630</v>
      </c>
      <c r="E289" s="438" t="s">
        <v>553</v>
      </c>
      <c r="F289" s="438" t="s">
        <v>554</v>
      </c>
      <c r="G289" s="439">
        <v>259829000</v>
      </c>
      <c r="H289" s="431"/>
    </row>
    <row r="290" spans="1:8" ht="13.5" customHeight="1">
      <c r="A290" s="519"/>
      <c r="B290" s="520"/>
      <c r="C290" s="520"/>
      <c r="D290" s="520"/>
      <c r="E290" s="438" t="s">
        <v>543</v>
      </c>
      <c r="F290" s="438" t="s">
        <v>544</v>
      </c>
      <c r="G290" s="439">
        <v>139648000</v>
      </c>
      <c r="H290" s="431"/>
    </row>
    <row r="291" spans="1:8" ht="13.5" customHeight="1">
      <c r="A291" s="519"/>
      <c r="B291" s="520"/>
      <c r="C291" s="520"/>
      <c r="D291" s="520" t="s">
        <v>509</v>
      </c>
      <c r="E291" s="520" t="s">
        <v>553</v>
      </c>
      <c r="F291" s="438" t="s">
        <v>627</v>
      </c>
      <c r="G291" s="439">
        <v>49070000</v>
      </c>
      <c r="H291" s="431"/>
    </row>
    <row r="292" spans="1:8" ht="13.5" customHeight="1">
      <c r="A292" s="519"/>
      <c r="B292" s="520"/>
      <c r="C292" s="520"/>
      <c r="D292" s="520"/>
      <c r="E292" s="520"/>
      <c r="F292" s="438" t="s">
        <v>554</v>
      </c>
      <c r="G292" s="439">
        <v>45549000</v>
      </c>
      <c r="H292" s="431"/>
    </row>
    <row r="293" spans="1:8" ht="13.5" customHeight="1">
      <c r="A293" s="519"/>
      <c r="B293" s="520"/>
      <c r="C293" s="520"/>
      <c r="D293" s="520"/>
      <c r="E293" s="520" t="s">
        <v>510</v>
      </c>
      <c r="F293" s="438" t="s">
        <v>511</v>
      </c>
      <c r="G293" s="439">
        <v>188570000</v>
      </c>
      <c r="H293" s="431"/>
    </row>
    <row r="294" spans="1:8" ht="13.5" customHeight="1">
      <c r="A294" s="519"/>
      <c r="B294" s="520"/>
      <c r="C294" s="520"/>
      <c r="D294" s="520"/>
      <c r="E294" s="520"/>
      <c r="F294" s="438" t="s">
        <v>623</v>
      </c>
      <c r="G294" s="439">
        <v>23684400</v>
      </c>
      <c r="H294" s="431"/>
    </row>
    <row r="295" spans="1:8" ht="13.5" customHeight="1">
      <c r="A295" s="519"/>
      <c r="B295" s="520"/>
      <c r="C295" s="520"/>
      <c r="D295" s="520"/>
      <c r="E295" s="438" t="s">
        <v>631</v>
      </c>
      <c r="F295" s="438" t="s">
        <v>632</v>
      </c>
      <c r="G295" s="439">
        <v>29032000</v>
      </c>
      <c r="H295" s="431"/>
    </row>
    <row r="296" spans="1:8" ht="13.5" customHeight="1">
      <c r="A296" s="519"/>
      <c r="B296" s="520"/>
      <c r="C296" s="520"/>
      <c r="D296" s="520" t="s">
        <v>588</v>
      </c>
      <c r="E296" s="438" t="s">
        <v>499</v>
      </c>
      <c r="F296" s="438" t="s">
        <v>633</v>
      </c>
      <c r="G296" s="439">
        <v>110000000</v>
      </c>
      <c r="H296" s="431"/>
    </row>
    <row r="297" spans="1:8" ht="13.5" customHeight="1">
      <c r="A297" s="519"/>
      <c r="B297" s="520"/>
      <c r="C297" s="520"/>
      <c r="D297" s="520"/>
      <c r="E297" s="438" t="s">
        <v>634</v>
      </c>
      <c r="F297" s="438" t="s">
        <v>635</v>
      </c>
      <c r="G297" s="439">
        <v>180000000</v>
      </c>
      <c r="H297" s="431"/>
    </row>
    <row r="298" spans="1:8" ht="13.5" customHeight="1">
      <c r="A298" s="519"/>
      <c r="B298" s="520"/>
      <c r="C298" s="438" t="s">
        <v>514</v>
      </c>
      <c r="D298" s="438" t="s">
        <v>515</v>
      </c>
      <c r="E298" s="438" t="s">
        <v>553</v>
      </c>
      <c r="F298" s="438" t="s">
        <v>628</v>
      </c>
      <c r="G298" s="439">
        <v>70000000</v>
      </c>
      <c r="H298" s="431"/>
    </row>
    <row r="299" spans="1:8" ht="13.5" customHeight="1">
      <c r="A299" s="524" t="s">
        <v>636</v>
      </c>
      <c r="B299" s="520" t="s">
        <v>513</v>
      </c>
      <c r="C299" s="520" t="s">
        <v>519</v>
      </c>
      <c r="D299" s="520" t="s">
        <v>520</v>
      </c>
      <c r="E299" s="438" t="s">
        <v>516</v>
      </c>
      <c r="F299" s="438" t="s">
        <v>517</v>
      </c>
      <c r="G299" s="439">
        <v>16424176000</v>
      </c>
      <c r="H299" s="431"/>
    </row>
    <row r="300" spans="1:8" ht="13.5" customHeight="1">
      <c r="A300" s="525"/>
      <c r="B300" s="520"/>
      <c r="C300" s="520"/>
      <c r="D300" s="520"/>
      <c r="E300" s="520" t="s">
        <v>523</v>
      </c>
      <c r="F300" s="438" t="s">
        <v>527</v>
      </c>
      <c r="G300" s="439">
        <v>61000000</v>
      </c>
      <c r="H300" s="431"/>
    </row>
    <row r="301" spans="1:8" ht="13.5" customHeight="1">
      <c r="A301" s="525"/>
      <c r="B301" s="520"/>
      <c r="C301" s="520"/>
      <c r="D301" s="520"/>
      <c r="E301" s="520"/>
      <c r="F301" s="438" t="s">
        <v>524</v>
      </c>
      <c r="G301" s="439">
        <v>710038000</v>
      </c>
      <c r="H301" s="431"/>
    </row>
    <row r="302" spans="1:8" ht="13.5" customHeight="1">
      <c r="A302" s="525"/>
      <c r="B302" s="520"/>
      <c r="C302" s="520"/>
      <c r="D302" s="520"/>
      <c r="E302" s="520"/>
      <c r="F302" s="438" t="s">
        <v>525</v>
      </c>
      <c r="G302" s="439">
        <v>30786000</v>
      </c>
      <c r="H302" s="431"/>
    </row>
    <row r="303" spans="1:8" ht="13.5" customHeight="1">
      <c r="A303" s="525"/>
      <c r="B303" s="520"/>
      <c r="C303" s="520"/>
      <c r="D303" s="520" t="s">
        <v>526</v>
      </c>
      <c r="E303" s="438" t="s">
        <v>516</v>
      </c>
      <c r="F303" s="438" t="s">
        <v>517</v>
      </c>
      <c r="G303" s="439">
        <v>15859089000</v>
      </c>
      <c r="H303" s="431"/>
    </row>
    <row r="304" spans="1:8" ht="13.5" customHeight="1">
      <c r="A304" s="525"/>
      <c r="B304" s="520"/>
      <c r="C304" s="520"/>
      <c r="D304" s="520"/>
      <c r="E304" s="520" t="s">
        <v>523</v>
      </c>
      <c r="F304" s="438" t="s">
        <v>527</v>
      </c>
      <c r="G304" s="439">
        <v>8860209</v>
      </c>
      <c r="H304" s="431"/>
    </row>
    <row r="305" spans="1:8" ht="13.5" customHeight="1">
      <c r="A305" s="525"/>
      <c r="B305" s="520"/>
      <c r="C305" s="520"/>
      <c r="D305" s="520"/>
      <c r="E305" s="520"/>
      <c r="F305" s="438" t="s">
        <v>524</v>
      </c>
      <c r="G305" s="439">
        <v>630751000</v>
      </c>
      <c r="H305" s="431"/>
    </row>
    <row r="306" spans="1:8" ht="13.5" customHeight="1">
      <c r="A306" s="525"/>
      <c r="B306" s="520"/>
      <c r="C306" s="520"/>
      <c r="D306" s="520"/>
      <c r="E306" s="520"/>
      <c r="F306" s="438" t="s">
        <v>525</v>
      </c>
      <c r="G306" s="439">
        <v>31299791</v>
      </c>
      <c r="H306" s="431"/>
    </row>
    <row r="307" spans="1:8" ht="13.5" customHeight="1">
      <c r="A307" s="525"/>
      <c r="B307" s="520" t="s">
        <v>171</v>
      </c>
      <c r="C307" s="520" t="s">
        <v>519</v>
      </c>
      <c r="D307" s="520" t="s">
        <v>528</v>
      </c>
      <c r="E307" s="438" t="s">
        <v>516</v>
      </c>
      <c r="F307" s="438" t="s">
        <v>517</v>
      </c>
      <c r="G307" s="439">
        <v>13346314000</v>
      </c>
      <c r="H307" s="431"/>
    </row>
    <row r="308" spans="1:8" ht="13.5" customHeight="1">
      <c r="A308" s="525"/>
      <c r="B308" s="520"/>
      <c r="C308" s="520"/>
      <c r="D308" s="520"/>
      <c r="E308" s="520" t="s">
        <v>523</v>
      </c>
      <c r="F308" s="438" t="s">
        <v>527</v>
      </c>
      <c r="G308" s="439">
        <v>101712112</v>
      </c>
      <c r="H308" s="431"/>
    </row>
    <row r="309" spans="1:8" ht="13.5" customHeight="1">
      <c r="A309" s="525"/>
      <c r="B309" s="520"/>
      <c r="C309" s="520"/>
      <c r="D309" s="520"/>
      <c r="E309" s="520"/>
      <c r="F309" s="438" t="s">
        <v>524</v>
      </c>
      <c r="G309" s="439">
        <v>508321000</v>
      </c>
      <c r="H309" s="431"/>
    </row>
    <row r="310" spans="1:8" ht="13.5" customHeight="1">
      <c r="A310" s="525"/>
      <c r="B310" s="520"/>
      <c r="C310" s="520"/>
      <c r="D310" s="520"/>
      <c r="E310" s="520"/>
      <c r="F310" s="438" t="s">
        <v>525</v>
      </c>
      <c r="G310" s="439">
        <v>38818888</v>
      </c>
      <c r="H310" s="431"/>
    </row>
    <row r="311" spans="1:8" ht="13.5" customHeight="1">
      <c r="A311" s="525"/>
      <c r="B311" s="520"/>
      <c r="C311" s="520" t="s">
        <v>550</v>
      </c>
      <c r="D311" s="520" t="s">
        <v>551</v>
      </c>
      <c r="E311" s="438" t="s">
        <v>516</v>
      </c>
      <c r="F311" s="438" t="s">
        <v>517</v>
      </c>
      <c r="G311" s="439">
        <v>2945190000</v>
      </c>
      <c r="H311" s="431"/>
    </row>
    <row r="312" spans="1:8" ht="13.5" customHeight="1">
      <c r="A312" s="525"/>
      <c r="B312" s="520"/>
      <c r="C312" s="520"/>
      <c r="D312" s="520"/>
      <c r="E312" s="520" t="s">
        <v>523</v>
      </c>
      <c r="F312" s="438" t="s">
        <v>527</v>
      </c>
      <c r="G312" s="439">
        <v>40000000</v>
      </c>
      <c r="H312" s="431"/>
    </row>
    <row r="313" spans="1:8" ht="13.5" customHeight="1">
      <c r="A313" s="525"/>
      <c r="B313" s="520"/>
      <c r="C313" s="520"/>
      <c r="D313" s="520"/>
      <c r="E313" s="520"/>
      <c r="F313" s="438" t="s">
        <v>524</v>
      </c>
      <c r="G313" s="439">
        <v>147619000</v>
      </c>
      <c r="H313" s="431"/>
    </row>
    <row r="314" spans="1:8" ht="13.5" customHeight="1">
      <c r="A314" s="525"/>
      <c r="B314" s="520"/>
      <c r="C314" s="520"/>
      <c r="D314" s="520"/>
      <c r="E314" s="520"/>
      <c r="F314" s="438" t="s">
        <v>525</v>
      </c>
      <c r="G314" s="439">
        <v>5286000</v>
      </c>
      <c r="H314" s="431"/>
    </row>
    <row r="315" spans="1:8" ht="13.5" customHeight="1">
      <c r="A315" s="525"/>
      <c r="B315" s="520"/>
      <c r="C315" s="520" t="s">
        <v>529</v>
      </c>
      <c r="D315" s="520" t="s">
        <v>530</v>
      </c>
      <c r="E315" s="438" t="s">
        <v>516</v>
      </c>
      <c r="F315" s="438" t="s">
        <v>517</v>
      </c>
      <c r="G315" s="439">
        <v>2678245000</v>
      </c>
      <c r="H315" s="431"/>
    </row>
    <row r="316" spans="1:8" ht="13.5" customHeight="1">
      <c r="A316" s="525"/>
      <c r="B316" s="520"/>
      <c r="C316" s="520"/>
      <c r="D316" s="520"/>
      <c r="E316" s="438" t="s">
        <v>523</v>
      </c>
      <c r="F316" s="438" t="s">
        <v>524</v>
      </c>
      <c r="G316" s="439">
        <v>140000000</v>
      </c>
      <c r="H316" s="431"/>
    </row>
    <row r="317" spans="1:8" ht="13.5" customHeight="1">
      <c r="A317" s="525"/>
      <c r="B317" s="520"/>
      <c r="C317" s="520" t="s">
        <v>497</v>
      </c>
      <c r="D317" s="520" t="s">
        <v>531</v>
      </c>
      <c r="E317" s="438" t="s">
        <v>516</v>
      </c>
      <c r="F317" s="438" t="s">
        <v>517</v>
      </c>
      <c r="G317" s="439">
        <v>1375105000</v>
      </c>
      <c r="H317" s="431"/>
    </row>
    <row r="318" spans="1:8" ht="13.5" customHeight="1">
      <c r="A318" s="525"/>
      <c r="B318" s="520"/>
      <c r="C318" s="520"/>
      <c r="D318" s="520"/>
      <c r="E318" s="520" t="s">
        <v>523</v>
      </c>
      <c r="F318" s="438" t="s">
        <v>527</v>
      </c>
      <c r="G318" s="439">
        <v>34512000</v>
      </c>
      <c r="H318" s="431"/>
    </row>
    <row r="319" spans="1:8" ht="13.5" customHeight="1">
      <c r="A319" s="525"/>
      <c r="B319" s="520"/>
      <c r="C319" s="520"/>
      <c r="D319" s="520"/>
      <c r="E319" s="520"/>
      <c r="F319" s="438" t="s">
        <v>524</v>
      </c>
      <c r="G319" s="439">
        <v>184359000</v>
      </c>
      <c r="H319" s="431"/>
    </row>
    <row r="320" spans="1:8" ht="13.5" customHeight="1">
      <c r="A320" s="525"/>
      <c r="B320" s="520"/>
      <c r="C320" s="520"/>
      <c r="D320" s="520"/>
      <c r="E320" s="520"/>
      <c r="F320" s="438" t="s">
        <v>525</v>
      </c>
      <c r="G320" s="439">
        <v>8826000</v>
      </c>
      <c r="H320" s="431"/>
    </row>
    <row r="321" spans="1:8" ht="13.5" customHeight="1">
      <c r="A321" s="525"/>
      <c r="B321" s="520"/>
      <c r="C321" s="520"/>
      <c r="D321" s="520" t="s">
        <v>532</v>
      </c>
      <c r="E321" s="438" t="s">
        <v>516</v>
      </c>
      <c r="F321" s="438" t="s">
        <v>517</v>
      </c>
      <c r="G321" s="439">
        <v>17451093000</v>
      </c>
      <c r="H321" s="431"/>
    </row>
    <row r="322" spans="1:8" ht="13.5" customHeight="1">
      <c r="A322" s="525"/>
      <c r="B322" s="520"/>
      <c r="C322" s="520"/>
      <c r="D322" s="520"/>
      <c r="E322" s="520" t="s">
        <v>523</v>
      </c>
      <c r="F322" s="438" t="s">
        <v>527</v>
      </c>
      <c r="G322" s="439">
        <v>455787000</v>
      </c>
      <c r="H322" s="431"/>
    </row>
    <row r="323" spans="1:8" ht="13.5" customHeight="1">
      <c r="A323" s="525"/>
      <c r="B323" s="520"/>
      <c r="C323" s="520"/>
      <c r="D323" s="520"/>
      <c r="E323" s="520"/>
      <c r="F323" s="438" t="s">
        <v>524</v>
      </c>
      <c r="G323" s="439">
        <v>1589393000</v>
      </c>
      <c r="H323" s="431"/>
    </row>
    <row r="324" spans="1:8" ht="13.5" customHeight="1">
      <c r="A324" s="525"/>
      <c r="B324" s="520"/>
      <c r="C324" s="520"/>
      <c r="D324" s="520"/>
      <c r="E324" s="520"/>
      <c r="F324" s="438" t="s">
        <v>525</v>
      </c>
      <c r="G324" s="439">
        <v>101212000</v>
      </c>
      <c r="H324" s="431"/>
    </row>
    <row r="325" spans="1:8" ht="13.5" customHeight="1">
      <c r="A325" s="525"/>
      <c r="B325" s="520"/>
      <c r="C325" s="520"/>
      <c r="D325" s="520" t="s">
        <v>533</v>
      </c>
      <c r="E325" s="438" t="s">
        <v>516</v>
      </c>
      <c r="F325" s="438" t="s">
        <v>517</v>
      </c>
      <c r="G325" s="439">
        <v>5953881000</v>
      </c>
      <c r="H325" s="431"/>
    </row>
    <row r="326" spans="1:8" ht="13.5" customHeight="1">
      <c r="A326" s="525"/>
      <c r="B326" s="520"/>
      <c r="C326" s="520"/>
      <c r="D326" s="520"/>
      <c r="E326" s="520" t="s">
        <v>523</v>
      </c>
      <c r="F326" s="438" t="s">
        <v>527</v>
      </c>
      <c r="G326" s="439">
        <v>337561000</v>
      </c>
      <c r="H326" s="431"/>
    </row>
    <row r="327" spans="1:8" ht="13.5" customHeight="1">
      <c r="A327" s="525"/>
      <c r="B327" s="520"/>
      <c r="C327" s="520"/>
      <c r="D327" s="520"/>
      <c r="E327" s="520"/>
      <c r="F327" s="438" t="s">
        <v>524</v>
      </c>
      <c r="G327" s="439">
        <v>751633000</v>
      </c>
      <c r="H327" s="431"/>
    </row>
    <row r="328" spans="1:8" ht="13.5" customHeight="1">
      <c r="A328" s="525"/>
      <c r="B328" s="520"/>
      <c r="C328" s="520"/>
      <c r="D328" s="520"/>
      <c r="E328" s="520"/>
      <c r="F328" s="438" t="s">
        <v>525</v>
      </c>
      <c r="G328" s="439">
        <v>67808000</v>
      </c>
      <c r="H328" s="431"/>
    </row>
    <row r="329" spans="1:8" ht="13.5" customHeight="1">
      <c r="A329" s="525"/>
      <c r="B329" s="520"/>
      <c r="C329" s="520" t="s">
        <v>514</v>
      </c>
      <c r="D329" s="520" t="s">
        <v>515</v>
      </c>
      <c r="E329" s="438" t="s">
        <v>516</v>
      </c>
      <c r="F329" s="438" t="s">
        <v>517</v>
      </c>
      <c r="G329" s="439">
        <v>4217220999.9999995</v>
      </c>
      <c r="H329" s="431"/>
    </row>
    <row r="330" spans="1:8" ht="13.5" customHeight="1">
      <c r="A330" s="525"/>
      <c r="B330" s="520"/>
      <c r="C330" s="520"/>
      <c r="D330" s="520"/>
      <c r="E330" s="520" t="s">
        <v>523</v>
      </c>
      <c r="F330" s="438" t="s">
        <v>527</v>
      </c>
      <c r="G330" s="439">
        <v>50000000</v>
      </c>
      <c r="H330" s="431"/>
    </row>
    <row r="331" spans="1:8" ht="13.5" customHeight="1">
      <c r="A331" s="525"/>
      <c r="B331" s="520"/>
      <c r="C331" s="520"/>
      <c r="D331" s="520"/>
      <c r="E331" s="520"/>
      <c r="F331" s="438" t="s">
        <v>524</v>
      </c>
      <c r="G331" s="439">
        <v>176281000</v>
      </c>
      <c r="H331" s="431"/>
    </row>
    <row r="332" spans="1:8" ht="13.5" customHeight="1">
      <c r="A332" s="525"/>
      <c r="B332" s="520"/>
      <c r="C332" s="520"/>
      <c r="D332" s="520"/>
      <c r="E332" s="520"/>
      <c r="F332" s="438" t="s">
        <v>525</v>
      </c>
      <c r="G332" s="439">
        <v>6498000</v>
      </c>
      <c r="H332" s="431"/>
    </row>
    <row r="333" spans="1:8" ht="13.5" customHeight="1">
      <c r="A333" s="525"/>
      <c r="B333" s="520" t="s">
        <v>552</v>
      </c>
      <c r="C333" s="520" t="s">
        <v>497</v>
      </c>
      <c r="D333" s="438" t="s">
        <v>532</v>
      </c>
      <c r="E333" s="438" t="s">
        <v>516</v>
      </c>
      <c r="F333" s="438" t="s">
        <v>517</v>
      </c>
      <c r="G333" s="439">
        <v>699995000</v>
      </c>
      <c r="H333" s="431"/>
    </row>
    <row r="334" spans="1:8" ht="13.5" customHeight="1">
      <c r="A334" s="525"/>
      <c r="B334" s="520"/>
      <c r="C334" s="520"/>
      <c r="D334" s="438" t="s">
        <v>534</v>
      </c>
      <c r="E334" s="438" t="s">
        <v>516</v>
      </c>
      <c r="F334" s="438" t="s">
        <v>517</v>
      </c>
      <c r="G334" s="439">
        <v>500000000</v>
      </c>
      <c r="H334" s="431"/>
    </row>
    <row r="335" spans="1:8" ht="13.5" customHeight="1" hidden="1">
      <c r="A335" s="525"/>
      <c r="B335" s="520" t="s">
        <v>518</v>
      </c>
      <c r="C335" s="520" t="s">
        <v>519</v>
      </c>
      <c r="D335" s="520" t="s">
        <v>520</v>
      </c>
      <c r="E335" s="520" t="s">
        <v>521</v>
      </c>
      <c r="F335" s="438" t="s">
        <v>637</v>
      </c>
      <c r="G335" s="439">
        <v>0</v>
      </c>
      <c r="H335" s="431"/>
    </row>
    <row r="336" spans="1:8" ht="13.5" customHeight="1">
      <c r="A336" s="525"/>
      <c r="B336" s="520"/>
      <c r="C336" s="520"/>
      <c r="D336" s="520"/>
      <c r="E336" s="520"/>
      <c r="F336" s="438" t="s">
        <v>522</v>
      </c>
      <c r="G336" s="439">
        <v>11891000</v>
      </c>
      <c r="H336" s="431"/>
    </row>
    <row r="337" spans="1:8" ht="13.5" customHeight="1">
      <c r="A337" s="525"/>
      <c r="B337" s="520"/>
      <c r="C337" s="520"/>
      <c r="D337" s="520"/>
      <c r="E337" s="520" t="s">
        <v>516</v>
      </c>
      <c r="F337" s="438" t="s">
        <v>517</v>
      </c>
      <c r="G337" s="439">
        <v>31562863000</v>
      </c>
      <c r="H337" s="431"/>
    </row>
    <row r="338" spans="1:8" ht="13.5" customHeight="1">
      <c r="A338" s="525"/>
      <c r="B338" s="520"/>
      <c r="C338" s="520"/>
      <c r="D338" s="520"/>
      <c r="E338" s="520"/>
      <c r="F338" s="438" t="s">
        <v>638</v>
      </c>
      <c r="G338" s="439">
        <v>316033000</v>
      </c>
      <c r="H338" s="431"/>
    </row>
    <row r="339" spans="1:8" ht="13.5" customHeight="1">
      <c r="A339" s="525"/>
      <c r="B339" s="520"/>
      <c r="C339" s="520"/>
      <c r="D339" s="520"/>
      <c r="E339" s="520" t="s">
        <v>523</v>
      </c>
      <c r="F339" s="438" t="s">
        <v>527</v>
      </c>
      <c r="G339" s="439">
        <v>625267000</v>
      </c>
      <c r="H339" s="431"/>
    </row>
    <row r="340" spans="1:8" ht="13.5" customHeight="1">
      <c r="A340" s="525"/>
      <c r="B340" s="520"/>
      <c r="C340" s="520"/>
      <c r="D340" s="520"/>
      <c r="E340" s="520"/>
      <c r="F340" s="438" t="s">
        <v>524</v>
      </c>
      <c r="G340" s="439">
        <v>2467245000</v>
      </c>
      <c r="H340" s="431"/>
    </row>
    <row r="341" spans="1:8" ht="13.5" customHeight="1">
      <c r="A341" s="525"/>
      <c r="B341" s="520"/>
      <c r="C341" s="520"/>
      <c r="D341" s="520"/>
      <c r="E341" s="520"/>
      <c r="F341" s="438" t="s">
        <v>525</v>
      </c>
      <c r="G341" s="439">
        <v>162259000</v>
      </c>
      <c r="H341" s="431"/>
    </row>
    <row r="342" spans="1:8" ht="13.5" customHeight="1">
      <c r="A342" s="525"/>
      <c r="B342" s="520"/>
      <c r="C342" s="520"/>
      <c r="D342" s="520" t="s">
        <v>526</v>
      </c>
      <c r="E342" s="438" t="s">
        <v>521</v>
      </c>
      <c r="F342" s="438" t="s">
        <v>637</v>
      </c>
      <c r="G342" s="439">
        <v>156544000</v>
      </c>
      <c r="H342" s="431"/>
    </row>
    <row r="343" spans="1:8" ht="13.5" customHeight="1">
      <c r="A343" s="525"/>
      <c r="B343" s="520"/>
      <c r="C343" s="520"/>
      <c r="D343" s="520"/>
      <c r="E343" s="438" t="s">
        <v>516</v>
      </c>
      <c r="F343" s="438" t="s">
        <v>517</v>
      </c>
      <c r="G343" s="439">
        <v>32174670000</v>
      </c>
      <c r="H343" s="431"/>
    </row>
    <row r="344" spans="1:8" ht="13.5" customHeight="1">
      <c r="A344" s="525"/>
      <c r="B344" s="520"/>
      <c r="C344" s="520"/>
      <c r="D344" s="520"/>
      <c r="E344" s="520" t="s">
        <v>523</v>
      </c>
      <c r="F344" s="438" t="s">
        <v>527</v>
      </c>
      <c r="G344" s="439">
        <v>939682000</v>
      </c>
      <c r="H344" s="431"/>
    </row>
    <row r="345" spans="1:8" ht="13.5" customHeight="1">
      <c r="A345" s="525"/>
      <c r="B345" s="520"/>
      <c r="C345" s="520"/>
      <c r="D345" s="520"/>
      <c r="E345" s="520"/>
      <c r="F345" s="438" t="s">
        <v>524</v>
      </c>
      <c r="G345" s="439">
        <v>2672006000</v>
      </c>
      <c r="H345" s="431"/>
    </row>
    <row r="346" spans="1:8" ht="13.5" customHeight="1">
      <c r="A346" s="525"/>
      <c r="B346" s="520"/>
      <c r="C346" s="520"/>
      <c r="D346" s="520"/>
      <c r="E346" s="520"/>
      <c r="F346" s="438" t="s">
        <v>525</v>
      </c>
      <c r="G346" s="439">
        <v>218001000</v>
      </c>
      <c r="H346" s="431"/>
    </row>
    <row r="347" spans="1:8" ht="13.5" customHeight="1">
      <c r="A347" s="525"/>
      <c r="B347" s="520"/>
      <c r="C347" s="520"/>
      <c r="D347" s="520" t="s">
        <v>528</v>
      </c>
      <c r="E347" s="438" t="s">
        <v>516</v>
      </c>
      <c r="F347" s="438" t="s">
        <v>517</v>
      </c>
      <c r="G347" s="439">
        <v>35378159000</v>
      </c>
      <c r="H347" s="431"/>
    </row>
    <row r="348" spans="1:8" ht="13.5" customHeight="1">
      <c r="A348" s="525"/>
      <c r="B348" s="520"/>
      <c r="C348" s="520"/>
      <c r="D348" s="520"/>
      <c r="E348" s="520" t="s">
        <v>523</v>
      </c>
      <c r="F348" s="438" t="s">
        <v>527</v>
      </c>
      <c r="G348" s="439">
        <v>156972000</v>
      </c>
      <c r="H348" s="431"/>
    </row>
    <row r="349" spans="1:8" ht="13.5" customHeight="1">
      <c r="A349" s="525"/>
      <c r="B349" s="520"/>
      <c r="C349" s="520"/>
      <c r="D349" s="520"/>
      <c r="E349" s="520"/>
      <c r="F349" s="438" t="s">
        <v>524</v>
      </c>
      <c r="G349" s="439">
        <v>1765841000</v>
      </c>
      <c r="H349" s="431"/>
    </row>
    <row r="350" spans="1:8" ht="13.5" customHeight="1">
      <c r="A350" s="525"/>
      <c r="B350" s="520"/>
      <c r="C350" s="520"/>
      <c r="D350" s="520"/>
      <c r="E350" s="520"/>
      <c r="F350" s="438" t="s">
        <v>525</v>
      </c>
      <c r="G350" s="439">
        <v>73565000</v>
      </c>
      <c r="H350" s="431"/>
    </row>
    <row r="351" spans="1:8" ht="13.5" customHeight="1">
      <c r="A351" s="525"/>
      <c r="B351" s="520"/>
      <c r="C351" s="520" t="s">
        <v>550</v>
      </c>
      <c r="D351" s="438" t="s">
        <v>551</v>
      </c>
      <c r="E351" s="438" t="s">
        <v>516</v>
      </c>
      <c r="F351" s="438" t="s">
        <v>517</v>
      </c>
      <c r="G351" s="439">
        <v>1000000000</v>
      </c>
      <c r="H351" s="431"/>
    </row>
    <row r="352" spans="1:8" ht="13.5" customHeight="1">
      <c r="A352" s="525"/>
      <c r="B352" s="520"/>
      <c r="C352" s="520"/>
      <c r="D352" s="520" t="s">
        <v>639</v>
      </c>
      <c r="E352" s="438" t="s">
        <v>516</v>
      </c>
      <c r="F352" s="438" t="s">
        <v>517</v>
      </c>
      <c r="G352" s="439">
        <v>2160964000</v>
      </c>
      <c r="H352" s="431"/>
    </row>
    <row r="353" spans="1:8" ht="13.5" customHeight="1">
      <c r="A353" s="525"/>
      <c r="B353" s="520"/>
      <c r="C353" s="520"/>
      <c r="D353" s="520"/>
      <c r="E353" s="520" t="s">
        <v>523</v>
      </c>
      <c r="F353" s="438" t="s">
        <v>527</v>
      </c>
      <c r="G353" s="439">
        <v>24179000</v>
      </c>
      <c r="H353" s="431"/>
    </row>
    <row r="354" spans="1:8" ht="13.5" customHeight="1">
      <c r="A354" s="525"/>
      <c r="B354" s="520"/>
      <c r="C354" s="520"/>
      <c r="D354" s="520"/>
      <c r="E354" s="520"/>
      <c r="F354" s="438" t="s">
        <v>524</v>
      </c>
      <c r="G354" s="439">
        <v>199810000</v>
      </c>
      <c r="H354" s="431"/>
    </row>
    <row r="355" spans="1:8" ht="13.5" customHeight="1">
      <c r="A355" s="525"/>
      <c r="B355" s="520"/>
      <c r="C355" s="520"/>
      <c r="D355" s="520"/>
      <c r="E355" s="520"/>
      <c r="F355" s="438" t="s">
        <v>525</v>
      </c>
      <c r="G355" s="439">
        <v>53207000</v>
      </c>
      <c r="H355" s="431"/>
    </row>
    <row r="356" spans="1:8" ht="13.5" customHeight="1">
      <c r="A356" s="525"/>
      <c r="B356" s="520"/>
      <c r="C356" s="520" t="s">
        <v>529</v>
      </c>
      <c r="D356" s="520" t="s">
        <v>530</v>
      </c>
      <c r="E356" s="438" t="s">
        <v>521</v>
      </c>
      <c r="F356" s="438" t="s">
        <v>522</v>
      </c>
      <c r="G356" s="439">
        <v>20832000</v>
      </c>
      <c r="H356" s="431"/>
    </row>
    <row r="357" spans="1:8" ht="13.5" customHeight="1">
      <c r="A357" s="525"/>
      <c r="B357" s="520"/>
      <c r="C357" s="520"/>
      <c r="D357" s="520"/>
      <c r="E357" s="438" t="s">
        <v>516</v>
      </c>
      <c r="F357" s="438" t="s">
        <v>517</v>
      </c>
      <c r="G357" s="439">
        <v>15414549000</v>
      </c>
      <c r="H357" s="431"/>
    </row>
    <row r="358" spans="1:8" ht="13.5" customHeight="1">
      <c r="A358" s="525"/>
      <c r="B358" s="520"/>
      <c r="C358" s="520"/>
      <c r="D358" s="520"/>
      <c r="E358" s="438" t="s">
        <v>640</v>
      </c>
      <c r="F358" s="438" t="s">
        <v>641</v>
      </c>
      <c r="G358" s="439">
        <v>200000000</v>
      </c>
      <c r="H358" s="431"/>
    </row>
    <row r="359" spans="1:8" ht="13.5" customHeight="1">
      <c r="A359" s="525"/>
      <c r="B359" s="520"/>
      <c r="C359" s="520"/>
      <c r="D359" s="520"/>
      <c r="E359" s="520" t="s">
        <v>523</v>
      </c>
      <c r="F359" s="438" t="s">
        <v>527</v>
      </c>
      <c r="G359" s="439">
        <v>162373000</v>
      </c>
      <c r="H359" s="431"/>
    </row>
    <row r="360" spans="1:8" ht="13.5" customHeight="1">
      <c r="A360" s="525"/>
      <c r="B360" s="520"/>
      <c r="C360" s="520"/>
      <c r="D360" s="520"/>
      <c r="E360" s="520"/>
      <c r="F360" s="438" t="s">
        <v>524</v>
      </c>
      <c r="G360" s="439">
        <v>1191451000</v>
      </c>
      <c r="H360" s="431"/>
    </row>
    <row r="361" spans="1:8" ht="13.5" customHeight="1">
      <c r="A361" s="525"/>
      <c r="B361" s="520"/>
      <c r="C361" s="520"/>
      <c r="D361" s="520"/>
      <c r="E361" s="520"/>
      <c r="F361" s="438" t="s">
        <v>525</v>
      </c>
      <c r="G361" s="439">
        <v>64882999.99999999</v>
      </c>
      <c r="H361" s="431"/>
    </row>
    <row r="362" spans="1:8" ht="13.5" customHeight="1">
      <c r="A362" s="525"/>
      <c r="B362" s="520"/>
      <c r="C362" s="520" t="s">
        <v>624</v>
      </c>
      <c r="D362" s="520" t="s">
        <v>625</v>
      </c>
      <c r="E362" s="438" t="s">
        <v>516</v>
      </c>
      <c r="F362" s="438" t="s">
        <v>517</v>
      </c>
      <c r="G362" s="439">
        <v>500000000</v>
      </c>
      <c r="H362" s="431"/>
    </row>
    <row r="363" spans="1:8" ht="13.5" customHeight="1" hidden="1">
      <c r="A363" s="525"/>
      <c r="B363" s="520"/>
      <c r="C363" s="520"/>
      <c r="D363" s="520"/>
      <c r="E363" s="520" t="s">
        <v>523</v>
      </c>
      <c r="F363" s="438" t="s">
        <v>527</v>
      </c>
      <c r="G363" s="439">
        <v>0</v>
      </c>
      <c r="H363" s="431"/>
    </row>
    <row r="364" spans="1:8" ht="13.5" customHeight="1">
      <c r="A364" s="525"/>
      <c r="B364" s="520"/>
      <c r="C364" s="520"/>
      <c r="D364" s="520"/>
      <c r="E364" s="520"/>
      <c r="F364" s="438" t="s">
        <v>524</v>
      </c>
      <c r="G364" s="439">
        <v>69390000</v>
      </c>
      <c r="H364" s="431"/>
    </row>
    <row r="365" spans="1:8" ht="13.5" customHeight="1">
      <c r="A365" s="525"/>
      <c r="B365" s="520"/>
      <c r="C365" s="520" t="s">
        <v>497</v>
      </c>
      <c r="D365" s="520" t="s">
        <v>531</v>
      </c>
      <c r="E365" s="438" t="s">
        <v>516</v>
      </c>
      <c r="F365" s="438" t="s">
        <v>517</v>
      </c>
      <c r="G365" s="439">
        <v>7183792000</v>
      </c>
      <c r="H365" s="431"/>
    </row>
    <row r="366" spans="1:8" ht="13.5" customHeight="1">
      <c r="A366" s="525"/>
      <c r="B366" s="520"/>
      <c r="C366" s="520"/>
      <c r="D366" s="520"/>
      <c r="E366" s="520" t="s">
        <v>523</v>
      </c>
      <c r="F366" s="438" t="s">
        <v>527</v>
      </c>
      <c r="G366" s="439">
        <v>90165000</v>
      </c>
      <c r="H366" s="431"/>
    </row>
    <row r="367" spans="1:8" ht="13.5" customHeight="1">
      <c r="A367" s="525"/>
      <c r="B367" s="520"/>
      <c r="C367" s="520"/>
      <c r="D367" s="520"/>
      <c r="E367" s="520"/>
      <c r="F367" s="438" t="s">
        <v>524</v>
      </c>
      <c r="G367" s="439">
        <v>719761000</v>
      </c>
      <c r="H367" s="431"/>
    </row>
    <row r="368" spans="1:8" ht="13.5" customHeight="1">
      <c r="A368" s="525"/>
      <c r="B368" s="520"/>
      <c r="C368" s="520"/>
      <c r="D368" s="520"/>
      <c r="E368" s="520"/>
      <c r="F368" s="438" t="s">
        <v>525</v>
      </c>
      <c r="G368" s="439">
        <v>11067000</v>
      </c>
      <c r="H368" s="431"/>
    </row>
    <row r="369" spans="1:8" ht="13.5" customHeight="1">
      <c r="A369" s="525"/>
      <c r="B369" s="520"/>
      <c r="C369" s="520"/>
      <c r="D369" s="520" t="s">
        <v>532</v>
      </c>
      <c r="E369" s="438" t="s">
        <v>521</v>
      </c>
      <c r="F369" s="438" t="s">
        <v>522</v>
      </c>
      <c r="G369" s="439">
        <v>33000000</v>
      </c>
      <c r="H369" s="431"/>
    </row>
    <row r="370" spans="1:8" ht="13.5" customHeight="1">
      <c r="A370" s="525"/>
      <c r="B370" s="520"/>
      <c r="C370" s="520"/>
      <c r="D370" s="520"/>
      <c r="E370" s="438" t="s">
        <v>516</v>
      </c>
      <c r="F370" s="438" t="s">
        <v>517</v>
      </c>
      <c r="G370" s="439">
        <v>28399211000</v>
      </c>
      <c r="H370" s="431"/>
    </row>
    <row r="371" spans="1:8" ht="13.5" customHeight="1">
      <c r="A371" s="525"/>
      <c r="B371" s="520"/>
      <c r="C371" s="520"/>
      <c r="D371" s="520"/>
      <c r="E371" s="520" t="s">
        <v>523</v>
      </c>
      <c r="F371" s="438" t="s">
        <v>527</v>
      </c>
      <c r="G371" s="439">
        <v>385129000</v>
      </c>
      <c r="H371" s="431"/>
    </row>
    <row r="372" spans="1:8" ht="13.5" customHeight="1">
      <c r="A372" s="525"/>
      <c r="B372" s="520"/>
      <c r="C372" s="520"/>
      <c r="D372" s="520"/>
      <c r="E372" s="520"/>
      <c r="F372" s="438" t="s">
        <v>524</v>
      </c>
      <c r="G372" s="439">
        <v>2201788000</v>
      </c>
      <c r="H372" s="431"/>
    </row>
    <row r="373" spans="1:8" ht="13.5" customHeight="1">
      <c r="A373" s="525"/>
      <c r="B373" s="520"/>
      <c r="C373" s="520"/>
      <c r="D373" s="520"/>
      <c r="E373" s="520"/>
      <c r="F373" s="438" t="s">
        <v>525</v>
      </c>
      <c r="G373" s="439">
        <v>163490000</v>
      </c>
      <c r="H373" s="431"/>
    </row>
    <row r="374" spans="1:8" ht="13.5" customHeight="1">
      <c r="A374" s="525"/>
      <c r="B374" s="520"/>
      <c r="C374" s="520"/>
      <c r="D374" s="520" t="s">
        <v>533</v>
      </c>
      <c r="E374" s="438" t="s">
        <v>516</v>
      </c>
      <c r="F374" s="438" t="s">
        <v>517</v>
      </c>
      <c r="G374" s="439">
        <v>2605706000</v>
      </c>
      <c r="H374" s="431"/>
    </row>
    <row r="375" spans="1:8" ht="13.5" customHeight="1">
      <c r="A375" s="525"/>
      <c r="B375" s="520"/>
      <c r="C375" s="520"/>
      <c r="D375" s="520"/>
      <c r="E375" s="520" t="s">
        <v>523</v>
      </c>
      <c r="F375" s="438" t="s">
        <v>527</v>
      </c>
      <c r="G375" s="439">
        <v>25025000</v>
      </c>
      <c r="H375" s="431"/>
    </row>
    <row r="376" spans="1:8" ht="13.5" customHeight="1">
      <c r="A376" s="525"/>
      <c r="B376" s="520"/>
      <c r="C376" s="520"/>
      <c r="D376" s="520"/>
      <c r="E376" s="520"/>
      <c r="F376" s="438" t="s">
        <v>524</v>
      </c>
      <c r="G376" s="439">
        <v>90238000</v>
      </c>
      <c r="H376" s="431"/>
    </row>
    <row r="377" spans="1:8" ht="13.5" customHeight="1">
      <c r="A377" s="525"/>
      <c r="B377" s="520"/>
      <c r="C377" s="520"/>
      <c r="D377" s="520"/>
      <c r="E377" s="520"/>
      <c r="F377" s="438" t="s">
        <v>525</v>
      </c>
      <c r="G377" s="439">
        <v>27076000</v>
      </c>
      <c r="H377" s="431"/>
    </row>
    <row r="378" spans="1:8" ht="13.5" customHeight="1">
      <c r="A378" s="525"/>
      <c r="B378" s="520"/>
      <c r="C378" s="520"/>
      <c r="D378" s="520" t="s">
        <v>534</v>
      </c>
      <c r="E378" s="438" t="s">
        <v>642</v>
      </c>
      <c r="F378" s="438" t="s">
        <v>643</v>
      </c>
      <c r="G378" s="439">
        <v>189000</v>
      </c>
      <c r="H378" s="431"/>
    </row>
    <row r="379" spans="1:8" ht="13.5" customHeight="1">
      <c r="A379" s="525"/>
      <c r="B379" s="520"/>
      <c r="C379" s="520"/>
      <c r="D379" s="520"/>
      <c r="E379" s="438" t="s">
        <v>516</v>
      </c>
      <c r="F379" s="438" t="s">
        <v>517</v>
      </c>
      <c r="G379" s="439">
        <v>32158914000</v>
      </c>
      <c r="H379" s="431"/>
    </row>
    <row r="380" spans="1:8" ht="13.5" customHeight="1">
      <c r="A380" s="525"/>
      <c r="B380" s="520"/>
      <c r="C380" s="520"/>
      <c r="D380" s="520"/>
      <c r="E380" s="520" t="s">
        <v>523</v>
      </c>
      <c r="F380" s="438" t="s">
        <v>527</v>
      </c>
      <c r="G380" s="439">
        <v>39665000</v>
      </c>
      <c r="H380" s="431"/>
    </row>
    <row r="381" spans="1:8" ht="13.5" customHeight="1">
      <c r="A381" s="525"/>
      <c r="B381" s="520"/>
      <c r="C381" s="520"/>
      <c r="D381" s="520"/>
      <c r="E381" s="520"/>
      <c r="F381" s="438" t="s">
        <v>524</v>
      </c>
      <c r="G381" s="439">
        <v>516981000</v>
      </c>
      <c r="H381" s="431"/>
    </row>
    <row r="382" spans="1:8" ht="13.5" customHeight="1">
      <c r="A382" s="525"/>
      <c r="B382" s="520"/>
      <c r="C382" s="520"/>
      <c r="D382" s="520"/>
      <c r="E382" s="520"/>
      <c r="F382" s="438" t="s">
        <v>525</v>
      </c>
      <c r="G382" s="439">
        <v>35012000</v>
      </c>
      <c r="H382" s="431"/>
    </row>
    <row r="383" spans="1:8" ht="13.5" customHeight="1">
      <c r="A383" s="525"/>
      <c r="B383" s="520"/>
      <c r="C383" s="520"/>
      <c r="D383" s="520" t="s">
        <v>644</v>
      </c>
      <c r="E383" s="438" t="s">
        <v>516</v>
      </c>
      <c r="F383" s="438" t="s">
        <v>517</v>
      </c>
      <c r="G383" s="439">
        <v>1658511000</v>
      </c>
      <c r="H383" s="431"/>
    </row>
    <row r="384" spans="1:8" ht="13.5" customHeight="1">
      <c r="A384" s="525"/>
      <c r="B384" s="520"/>
      <c r="C384" s="520"/>
      <c r="D384" s="520"/>
      <c r="E384" s="520" t="s">
        <v>523</v>
      </c>
      <c r="F384" s="438" t="s">
        <v>527</v>
      </c>
      <c r="G384" s="439">
        <v>21783000</v>
      </c>
      <c r="H384" s="431"/>
    </row>
    <row r="385" spans="1:8" ht="13.5" customHeight="1">
      <c r="A385" s="525"/>
      <c r="B385" s="520"/>
      <c r="C385" s="520"/>
      <c r="D385" s="520"/>
      <c r="E385" s="520"/>
      <c r="F385" s="438" t="s">
        <v>524</v>
      </c>
      <c r="G385" s="439">
        <v>226032000</v>
      </c>
      <c r="H385" s="431"/>
    </row>
    <row r="386" spans="1:8" ht="13.5" customHeight="1">
      <c r="A386" s="525"/>
      <c r="B386" s="520"/>
      <c r="C386" s="520"/>
      <c r="D386" s="520"/>
      <c r="E386" s="520"/>
      <c r="F386" s="438" t="s">
        <v>525</v>
      </c>
      <c r="G386" s="439">
        <v>5684000</v>
      </c>
      <c r="H386" s="431"/>
    </row>
    <row r="387" spans="1:8" ht="13.5" customHeight="1">
      <c r="A387" s="525"/>
      <c r="B387" s="520"/>
      <c r="C387" s="520"/>
      <c r="D387" s="438" t="s">
        <v>588</v>
      </c>
      <c r="E387" s="438" t="s">
        <v>516</v>
      </c>
      <c r="F387" s="438" t="s">
        <v>517</v>
      </c>
      <c r="G387" s="439">
        <v>161000000</v>
      </c>
      <c r="H387" s="431"/>
    </row>
    <row r="388" spans="1:8" ht="13.5" customHeight="1">
      <c r="A388" s="525"/>
      <c r="B388" s="520" t="s">
        <v>508</v>
      </c>
      <c r="C388" s="520" t="s">
        <v>497</v>
      </c>
      <c r="D388" s="520" t="s">
        <v>542</v>
      </c>
      <c r="E388" s="438" t="s">
        <v>553</v>
      </c>
      <c r="F388" s="438" t="s">
        <v>554</v>
      </c>
      <c r="G388" s="439">
        <v>77558000</v>
      </c>
      <c r="H388" s="431"/>
    </row>
    <row r="389" spans="1:8" ht="13.5" customHeight="1">
      <c r="A389" s="525"/>
      <c r="B389" s="520"/>
      <c r="C389" s="520"/>
      <c r="D389" s="520"/>
      <c r="E389" s="438" t="s">
        <v>543</v>
      </c>
      <c r="F389" s="438" t="s">
        <v>601</v>
      </c>
      <c r="G389" s="439">
        <v>2442000</v>
      </c>
      <c r="H389" s="431"/>
    </row>
    <row r="390" spans="1:8" ht="13.5" customHeight="1">
      <c r="A390" s="525"/>
      <c r="B390" s="520"/>
      <c r="C390" s="520"/>
      <c r="D390" s="520" t="s">
        <v>532</v>
      </c>
      <c r="E390" s="438" t="s">
        <v>553</v>
      </c>
      <c r="F390" s="438" t="s">
        <v>554</v>
      </c>
      <c r="G390" s="439">
        <v>16038000</v>
      </c>
      <c r="H390" s="431"/>
    </row>
    <row r="391" spans="1:8" ht="13.5" customHeight="1">
      <c r="A391" s="525"/>
      <c r="B391" s="520"/>
      <c r="C391" s="520"/>
      <c r="D391" s="520"/>
      <c r="E391" s="438" t="s">
        <v>516</v>
      </c>
      <c r="F391" s="438" t="s">
        <v>517</v>
      </c>
      <c r="G391" s="439">
        <v>639262000</v>
      </c>
      <c r="H391" s="431"/>
    </row>
    <row r="392" spans="1:8" ht="13.5" customHeight="1">
      <c r="A392" s="525"/>
      <c r="B392" s="520"/>
      <c r="C392" s="520"/>
      <c r="D392" s="438" t="s">
        <v>645</v>
      </c>
      <c r="E392" s="438" t="s">
        <v>505</v>
      </c>
      <c r="F392" s="438" t="s">
        <v>506</v>
      </c>
      <c r="G392" s="439">
        <v>243104000</v>
      </c>
      <c r="H392" s="431"/>
    </row>
    <row r="393" spans="1:8" ht="13.5" customHeight="1">
      <c r="A393" s="526"/>
      <c r="B393" s="520"/>
      <c r="C393" s="438" t="s">
        <v>547</v>
      </c>
      <c r="D393" s="438" t="s">
        <v>646</v>
      </c>
      <c r="E393" s="438" t="s">
        <v>505</v>
      </c>
      <c r="F393" s="438" t="s">
        <v>506</v>
      </c>
      <c r="G393" s="439">
        <v>4000000</v>
      </c>
      <c r="H393" s="431"/>
    </row>
    <row r="394" spans="1:8" ht="13.5" customHeight="1">
      <c r="A394" s="519" t="s">
        <v>804</v>
      </c>
      <c r="B394" s="520" t="s">
        <v>599</v>
      </c>
      <c r="C394" s="520" t="s">
        <v>497</v>
      </c>
      <c r="D394" s="520" t="s">
        <v>498</v>
      </c>
      <c r="E394" s="438" t="s">
        <v>539</v>
      </c>
      <c r="F394" s="438" t="s">
        <v>615</v>
      </c>
      <c r="G394" s="439">
        <v>10971700</v>
      </c>
      <c r="H394" s="431"/>
    </row>
    <row r="395" spans="1:8" ht="13.5" customHeight="1">
      <c r="A395" s="519"/>
      <c r="B395" s="520"/>
      <c r="C395" s="520"/>
      <c r="D395" s="520"/>
      <c r="E395" s="438" t="s">
        <v>604</v>
      </c>
      <c r="F395" s="438" t="s">
        <v>605</v>
      </c>
      <c r="G395" s="439">
        <v>16200000</v>
      </c>
      <c r="H395" s="431"/>
    </row>
    <row r="396" spans="1:8" ht="13.5" customHeight="1">
      <c r="A396" s="519"/>
      <c r="B396" s="520"/>
      <c r="C396" s="520"/>
      <c r="D396" s="520"/>
      <c r="E396" s="438" t="s">
        <v>570</v>
      </c>
      <c r="F396" s="438" t="s">
        <v>600</v>
      </c>
      <c r="G396" s="439">
        <v>12275200</v>
      </c>
      <c r="H396" s="431"/>
    </row>
    <row r="397" spans="1:8" ht="13.5" customHeight="1">
      <c r="A397" s="519"/>
      <c r="B397" s="520"/>
      <c r="C397" s="520"/>
      <c r="D397" s="520"/>
      <c r="E397" s="438" t="s">
        <v>499</v>
      </c>
      <c r="F397" s="438" t="s">
        <v>500</v>
      </c>
      <c r="G397" s="439">
        <v>4059999.9999999995</v>
      </c>
      <c r="H397" s="431"/>
    </row>
    <row r="398" spans="1:8" ht="13.5" customHeight="1">
      <c r="A398" s="519"/>
      <c r="B398" s="520"/>
      <c r="C398" s="520"/>
      <c r="D398" s="520"/>
      <c r="E398" s="438" t="s">
        <v>559</v>
      </c>
      <c r="F398" s="438" t="s">
        <v>560</v>
      </c>
      <c r="G398" s="439">
        <v>100000000</v>
      </c>
      <c r="H398" s="431"/>
    </row>
    <row r="399" spans="1:8" ht="13.5" customHeight="1">
      <c r="A399" s="519"/>
      <c r="B399" s="520"/>
      <c r="C399" s="520"/>
      <c r="D399" s="520"/>
      <c r="E399" s="520" t="s">
        <v>574</v>
      </c>
      <c r="F399" s="438" t="s">
        <v>575</v>
      </c>
      <c r="G399" s="439">
        <v>17180000</v>
      </c>
      <c r="H399" s="431"/>
    </row>
    <row r="400" spans="1:8" ht="13.5" customHeight="1">
      <c r="A400" s="519"/>
      <c r="B400" s="520"/>
      <c r="C400" s="520"/>
      <c r="D400" s="520"/>
      <c r="E400" s="520"/>
      <c r="F400" s="438" t="s">
        <v>576</v>
      </c>
      <c r="G400" s="439">
        <v>9000000</v>
      </c>
      <c r="H400" s="431"/>
    </row>
    <row r="401" spans="1:8" ht="13.5" customHeight="1">
      <c r="A401" s="519"/>
      <c r="B401" s="520"/>
      <c r="C401" s="520"/>
      <c r="D401" s="520"/>
      <c r="E401" s="520"/>
      <c r="F401" s="438" t="s">
        <v>603</v>
      </c>
      <c r="G401" s="439">
        <v>12386000</v>
      </c>
      <c r="H401" s="431"/>
    </row>
    <row r="402" spans="1:8" ht="13.5" customHeight="1">
      <c r="A402" s="519"/>
      <c r="B402" s="520"/>
      <c r="C402" s="520"/>
      <c r="D402" s="520"/>
      <c r="E402" s="520"/>
      <c r="F402" s="438" t="s">
        <v>577</v>
      </c>
      <c r="G402" s="439">
        <v>7700000</v>
      </c>
      <c r="H402" s="431"/>
    </row>
    <row r="403" spans="1:8" ht="13.5" customHeight="1">
      <c r="A403" s="519"/>
      <c r="B403" s="520"/>
      <c r="C403" s="520"/>
      <c r="D403" s="520"/>
      <c r="E403" s="520"/>
      <c r="F403" s="438" t="s">
        <v>578</v>
      </c>
      <c r="G403" s="439">
        <v>21000000</v>
      </c>
      <c r="H403" s="431"/>
    </row>
    <row r="404" spans="1:8" ht="13.5" customHeight="1">
      <c r="A404" s="519"/>
      <c r="B404" s="520"/>
      <c r="C404" s="520"/>
      <c r="D404" s="520"/>
      <c r="E404" s="520"/>
      <c r="F404" s="438" t="s">
        <v>593</v>
      </c>
      <c r="G404" s="439">
        <v>23765000</v>
      </c>
      <c r="H404" s="431"/>
    </row>
    <row r="405" spans="1:8" ht="13.5" customHeight="1">
      <c r="A405" s="519"/>
      <c r="B405" s="520"/>
      <c r="C405" s="520"/>
      <c r="D405" s="520"/>
      <c r="E405" s="520"/>
      <c r="F405" s="438" t="s">
        <v>579</v>
      </c>
      <c r="G405" s="439">
        <v>21600000</v>
      </c>
      <c r="H405" s="431"/>
    </row>
    <row r="406" spans="1:8" ht="13.5" customHeight="1">
      <c r="A406" s="519"/>
      <c r="B406" s="520"/>
      <c r="C406" s="520"/>
      <c r="D406" s="520"/>
      <c r="E406" s="520" t="s">
        <v>561</v>
      </c>
      <c r="F406" s="438" t="s">
        <v>562</v>
      </c>
      <c r="G406" s="439">
        <v>70350000</v>
      </c>
      <c r="H406" s="431"/>
    </row>
    <row r="407" spans="1:8" ht="13.5" customHeight="1">
      <c r="A407" s="519"/>
      <c r="B407" s="520"/>
      <c r="C407" s="520"/>
      <c r="D407" s="520"/>
      <c r="E407" s="520"/>
      <c r="F407" s="438" t="s">
        <v>563</v>
      </c>
      <c r="G407" s="439">
        <v>26100000</v>
      </c>
      <c r="H407" s="431"/>
    </row>
    <row r="408" spans="1:8" ht="13.5" customHeight="1">
      <c r="A408" s="519"/>
      <c r="B408" s="520"/>
      <c r="C408" s="520"/>
      <c r="D408" s="520"/>
      <c r="E408" s="520"/>
      <c r="F408" s="438" t="s">
        <v>564</v>
      </c>
      <c r="G408" s="439">
        <v>28850000</v>
      </c>
      <c r="H408" s="431"/>
    </row>
    <row r="409" spans="1:8" ht="13.5" customHeight="1">
      <c r="A409" s="519"/>
      <c r="B409" s="520"/>
      <c r="C409" s="520"/>
      <c r="D409" s="520"/>
      <c r="E409" s="520"/>
      <c r="F409" s="438" t="s">
        <v>611</v>
      </c>
      <c r="G409" s="439">
        <v>115000</v>
      </c>
      <c r="H409" s="431"/>
    </row>
    <row r="410" spans="1:8" ht="13.5" customHeight="1">
      <c r="A410" s="519"/>
      <c r="B410" s="520"/>
      <c r="C410" s="520"/>
      <c r="D410" s="520"/>
      <c r="E410" s="438" t="s">
        <v>565</v>
      </c>
      <c r="F410" s="438" t="s">
        <v>566</v>
      </c>
      <c r="G410" s="439">
        <v>29000000</v>
      </c>
      <c r="H410" s="431"/>
    </row>
    <row r="411" spans="1:8" ht="13.5" customHeight="1">
      <c r="A411" s="519"/>
      <c r="B411" s="520"/>
      <c r="C411" s="520"/>
      <c r="D411" s="520"/>
      <c r="E411" s="520" t="s">
        <v>501</v>
      </c>
      <c r="F411" s="438" t="s">
        <v>502</v>
      </c>
      <c r="G411" s="439">
        <v>478770000</v>
      </c>
      <c r="H411" s="431"/>
    </row>
    <row r="412" spans="1:8" ht="13.5" customHeight="1">
      <c r="A412" s="519"/>
      <c r="B412" s="520"/>
      <c r="C412" s="520"/>
      <c r="D412" s="520"/>
      <c r="E412" s="520"/>
      <c r="F412" s="438" t="s">
        <v>589</v>
      </c>
      <c r="G412" s="439">
        <v>253100000</v>
      </c>
      <c r="H412" s="431"/>
    </row>
    <row r="413" spans="1:8" ht="13.5" customHeight="1">
      <c r="A413" s="519"/>
      <c r="B413" s="520"/>
      <c r="C413" s="520"/>
      <c r="D413" s="520"/>
      <c r="E413" s="520"/>
      <c r="F413" s="438" t="s">
        <v>503</v>
      </c>
      <c r="G413" s="439">
        <v>5000000</v>
      </c>
      <c r="H413" s="431"/>
    </row>
    <row r="414" spans="1:8" ht="13.5" customHeight="1">
      <c r="A414" s="519"/>
      <c r="B414" s="520"/>
      <c r="C414" s="520"/>
      <c r="D414" s="520"/>
      <c r="E414" s="520" t="s">
        <v>543</v>
      </c>
      <c r="F414" s="438" t="s">
        <v>601</v>
      </c>
      <c r="G414" s="439">
        <v>6090000</v>
      </c>
      <c r="H414" s="431"/>
    </row>
    <row r="415" spans="1:8" ht="13.5" customHeight="1" hidden="1">
      <c r="A415" s="519"/>
      <c r="B415" s="520"/>
      <c r="C415" s="520"/>
      <c r="D415" s="520"/>
      <c r="E415" s="520"/>
      <c r="F415" s="438" t="s">
        <v>544</v>
      </c>
      <c r="G415" s="439">
        <v>0</v>
      </c>
      <c r="H415" s="431"/>
    </row>
    <row r="416" spans="1:8" ht="13.5" customHeight="1">
      <c r="A416" s="519"/>
      <c r="B416" s="520" t="s">
        <v>647</v>
      </c>
      <c r="C416" s="520" t="s">
        <v>514</v>
      </c>
      <c r="D416" s="520" t="s">
        <v>515</v>
      </c>
      <c r="E416" s="438" t="s">
        <v>499</v>
      </c>
      <c r="F416" s="438" t="s">
        <v>633</v>
      </c>
      <c r="G416" s="439">
        <v>4000000</v>
      </c>
      <c r="H416" s="431"/>
    </row>
    <row r="417" spans="1:8" ht="13.5" customHeight="1">
      <c r="A417" s="519"/>
      <c r="B417" s="520"/>
      <c r="C417" s="520"/>
      <c r="D417" s="520"/>
      <c r="E417" s="520" t="s">
        <v>574</v>
      </c>
      <c r="F417" s="438" t="s">
        <v>575</v>
      </c>
      <c r="G417" s="439">
        <v>4900000</v>
      </c>
      <c r="H417" s="431"/>
    </row>
    <row r="418" spans="1:8" ht="13.5" customHeight="1">
      <c r="A418" s="519"/>
      <c r="B418" s="520"/>
      <c r="C418" s="520"/>
      <c r="D418" s="520"/>
      <c r="E418" s="520"/>
      <c r="F418" s="438" t="s">
        <v>577</v>
      </c>
      <c r="G418" s="439">
        <v>1400000</v>
      </c>
      <c r="H418" s="431"/>
    </row>
    <row r="419" spans="1:8" ht="13.5" customHeight="1">
      <c r="A419" s="519"/>
      <c r="B419" s="520"/>
      <c r="C419" s="520"/>
      <c r="D419" s="520"/>
      <c r="E419" s="520"/>
      <c r="F419" s="438" t="s">
        <v>578</v>
      </c>
      <c r="G419" s="439">
        <v>26000000</v>
      </c>
      <c r="H419" s="431"/>
    </row>
    <row r="420" spans="1:8" ht="36" customHeight="1">
      <c r="A420" s="519"/>
      <c r="B420" s="520"/>
      <c r="C420" s="520"/>
      <c r="D420" s="520"/>
      <c r="E420" s="520"/>
      <c r="F420" s="438" t="s">
        <v>593</v>
      </c>
      <c r="G420" s="439">
        <v>11200000</v>
      </c>
      <c r="H420" s="431"/>
    </row>
    <row r="421" spans="1:8" ht="13.5" customHeight="1">
      <c r="A421" s="519"/>
      <c r="B421" s="520"/>
      <c r="C421" s="520"/>
      <c r="D421" s="520"/>
      <c r="E421" s="520"/>
      <c r="F421" s="438" t="s">
        <v>579</v>
      </c>
      <c r="G421" s="439">
        <v>21686000</v>
      </c>
      <c r="H421" s="431"/>
    </row>
    <row r="422" spans="1:8" ht="27.75" customHeight="1">
      <c r="A422" s="519"/>
      <c r="B422" s="520"/>
      <c r="C422" s="520"/>
      <c r="D422" s="520"/>
      <c r="E422" s="438" t="s">
        <v>561</v>
      </c>
      <c r="F422" s="438" t="s">
        <v>563</v>
      </c>
      <c r="G422" s="439">
        <v>400000</v>
      </c>
      <c r="H422" s="431"/>
    </row>
    <row r="423" spans="1:7" ht="15" customHeight="1">
      <c r="A423" s="519"/>
      <c r="B423" s="520" t="s">
        <v>572</v>
      </c>
      <c r="C423" s="520" t="s">
        <v>519</v>
      </c>
      <c r="D423" s="520" t="s">
        <v>573</v>
      </c>
      <c r="E423" s="438" t="s">
        <v>570</v>
      </c>
      <c r="F423" s="438" t="s">
        <v>600</v>
      </c>
      <c r="G423" s="439">
        <v>3168100</v>
      </c>
    </row>
    <row r="424" spans="1:7" ht="15.75" customHeight="1">
      <c r="A424" s="519"/>
      <c r="B424" s="520"/>
      <c r="C424" s="520"/>
      <c r="D424" s="520"/>
      <c r="E424" s="438" t="s">
        <v>559</v>
      </c>
      <c r="F424" s="438" t="s">
        <v>560</v>
      </c>
      <c r="G424" s="439">
        <v>150000000</v>
      </c>
    </row>
    <row r="425" spans="1:7" ht="15">
      <c r="A425" s="519"/>
      <c r="B425" s="520"/>
      <c r="C425" s="520"/>
      <c r="D425" s="520"/>
      <c r="E425" s="438" t="s">
        <v>561</v>
      </c>
      <c r="F425" s="438" t="s">
        <v>563</v>
      </c>
      <c r="G425" s="439">
        <v>3300000</v>
      </c>
    </row>
    <row r="426" spans="1:7" ht="15">
      <c r="A426" s="519"/>
      <c r="B426" s="520"/>
      <c r="C426" s="520"/>
      <c r="D426" s="520"/>
      <c r="E426" s="438" t="s">
        <v>565</v>
      </c>
      <c r="F426" s="438" t="s">
        <v>566</v>
      </c>
      <c r="G426" s="439">
        <v>2000000</v>
      </c>
    </row>
    <row r="427" spans="1:7" ht="15">
      <c r="A427" s="519"/>
      <c r="B427" s="520" t="s">
        <v>614</v>
      </c>
      <c r="C427" s="520" t="s">
        <v>514</v>
      </c>
      <c r="D427" s="520" t="s">
        <v>610</v>
      </c>
      <c r="E427" s="438" t="s">
        <v>570</v>
      </c>
      <c r="F427" s="438" t="s">
        <v>600</v>
      </c>
      <c r="G427" s="439">
        <v>2532000</v>
      </c>
    </row>
    <row r="428" spans="1:7" ht="15">
      <c r="A428" s="519"/>
      <c r="B428" s="520"/>
      <c r="C428" s="520"/>
      <c r="D428" s="520"/>
      <c r="E428" s="520" t="s">
        <v>574</v>
      </c>
      <c r="F428" s="438" t="s">
        <v>575</v>
      </c>
      <c r="G428" s="439">
        <v>11000000</v>
      </c>
    </row>
    <row r="429" spans="1:7" ht="15">
      <c r="A429" s="519"/>
      <c r="B429" s="520"/>
      <c r="C429" s="520"/>
      <c r="D429" s="520"/>
      <c r="E429" s="520"/>
      <c r="F429" s="438" t="s">
        <v>576</v>
      </c>
      <c r="G429" s="439">
        <v>8000000</v>
      </c>
    </row>
    <row r="430" spans="1:7" ht="15">
      <c r="A430" s="519"/>
      <c r="B430" s="520"/>
      <c r="C430" s="520"/>
      <c r="D430" s="520"/>
      <c r="E430" s="520"/>
      <c r="F430" s="438" t="s">
        <v>593</v>
      </c>
      <c r="G430" s="439">
        <v>42400000</v>
      </c>
    </row>
    <row r="431" spans="1:7" ht="15.75" customHeight="1">
      <c r="A431" s="519"/>
      <c r="B431" s="520"/>
      <c r="C431" s="520"/>
      <c r="D431" s="520"/>
      <c r="E431" s="520"/>
      <c r="F431" s="438" t="s">
        <v>579</v>
      </c>
      <c r="G431" s="439">
        <v>28696000</v>
      </c>
    </row>
    <row r="432" spans="1:7" ht="15">
      <c r="A432" s="519"/>
      <c r="B432" s="520"/>
      <c r="C432" s="520"/>
      <c r="D432" s="520"/>
      <c r="E432" s="438" t="s">
        <v>561</v>
      </c>
      <c r="F432" s="438" t="s">
        <v>563</v>
      </c>
      <c r="G432" s="439">
        <v>3060000</v>
      </c>
    </row>
    <row r="433" spans="1:7" ht="15">
      <c r="A433" s="519"/>
      <c r="B433" s="520"/>
      <c r="C433" s="520"/>
      <c r="D433" s="520"/>
      <c r="E433" s="438" t="s">
        <v>501</v>
      </c>
      <c r="F433" s="438" t="s">
        <v>503</v>
      </c>
      <c r="G433" s="439">
        <v>54312000</v>
      </c>
    </row>
    <row r="434" spans="1:7" ht="15">
      <c r="A434" s="519"/>
      <c r="B434" s="520" t="s">
        <v>496</v>
      </c>
      <c r="C434" s="520" t="s">
        <v>497</v>
      </c>
      <c r="D434" s="520" t="s">
        <v>498</v>
      </c>
      <c r="E434" s="438" t="s">
        <v>539</v>
      </c>
      <c r="F434" s="438" t="s">
        <v>540</v>
      </c>
      <c r="G434" s="439">
        <v>5084000</v>
      </c>
    </row>
    <row r="435" spans="1:7" ht="15">
      <c r="A435" s="519"/>
      <c r="B435" s="520"/>
      <c r="C435" s="520"/>
      <c r="D435" s="520"/>
      <c r="E435" s="438" t="s">
        <v>604</v>
      </c>
      <c r="F435" s="438" t="s">
        <v>605</v>
      </c>
      <c r="G435" s="439">
        <v>31500000</v>
      </c>
    </row>
    <row r="436" spans="1:7" ht="15">
      <c r="A436" s="519"/>
      <c r="B436" s="520"/>
      <c r="C436" s="520"/>
      <c r="D436" s="520"/>
      <c r="E436" s="438" t="s">
        <v>499</v>
      </c>
      <c r="F436" s="438" t="s">
        <v>541</v>
      </c>
      <c r="G436" s="439">
        <v>16000</v>
      </c>
    </row>
    <row r="437" spans="1:7" ht="15">
      <c r="A437" s="519"/>
      <c r="B437" s="520"/>
      <c r="C437" s="520"/>
      <c r="D437" s="520"/>
      <c r="E437" s="520" t="s">
        <v>574</v>
      </c>
      <c r="F437" s="438" t="s">
        <v>576</v>
      </c>
      <c r="G437" s="439">
        <v>3200000</v>
      </c>
    </row>
    <row r="438" spans="1:7" ht="15">
      <c r="A438" s="519"/>
      <c r="B438" s="520"/>
      <c r="C438" s="520"/>
      <c r="D438" s="520"/>
      <c r="E438" s="520"/>
      <c r="F438" s="438" t="s">
        <v>579</v>
      </c>
      <c r="G438" s="439">
        <v>13770000</v>
      </c>
    </row>
    <row r="439" spans="1:7" ht="15">
      <c r="A439" s="519"/>
      <c r="B439" s="520"/>
      <c r="C439" s="520"/>
      <c r="D439" s="520"/>
      <c r="E439" s="520" t="s">
        <v>501</v>
      </c>
      <c r="F439" s="438" t="s">
        <v>502</v>
      </c>
      <c r="G439" s="439">
        <v>561104000</v>
      </c>
    </row>
    <row r="440" spans="1:7" ht="15">
      <c r="A440" s="519"/>
      <c r="B440" s="520"/>
      <c r="C440" s="520"/>
      <c r="D440" s="520"/>
      <c r="E440" s="520"/>
      <c r="F440" s="438" t="s">
        <v>503</v>
      </c>
      <c r="G440" s="439">
        <v>1629160000</v>
      </c>
    </row>
    <row r="441" spans="1:7" ht="15">
      <c r="A441" s="519"/>
      <c r="B441" s="520"/>
      <c r="C441" s="520"/>
      <c r="D441" s="520"/>
      <c r="E441" s="438" t="s">
        <v>543</v>
      </c>
      <c r="F441" s="438" t="s">
        <v>544</v>
      </c>
      <c r="G441" s="439">
        <v>150000000</v>
      </c>
    </row>
    <row r="442" spans="1:7" ht="15">
      <c r="A442" s="519"/>
      <c r="B442" s="520"/>
      <c r="C442" s="520"/>
      <c r="D442" s="520" t="s">
        <v>648</v>
      </c>
      <c r="E442" s="438" t="s">
        <v>604</v>
      </c>
      <c r="F442" s="438" t="s">
        <v>605</v>
      </c>
      <c r="G442" s="439">
        <v>32000000</v>
      </c>
    </row>
    <row r="443" spans="1:7" ht="15">
      <c r="A443" s="519"/>
      <c r="B443" s="520"/>
      <c r="C443" s="520"/>
      <c r="D443" s="520"/>
      <c r="E443" s="520" t="s">
        <v>501</v>
      </c>
      <c r="F443" s="438" t="s">
        <v>502</v>
      </c>
      <c r="G443" s="439">
        <v>53500000</v>
      </c>
    </row>
    <row r="444" spans="1:7" ht="15">
      <c r="A444" s="519"/>
      <c r="B444" s="520"/>
      <c r="C444" s="520"/>
      <c r="D444" s="520"/>
      <c r="E444" s="520"/>
      <c r="F444" s="438" t="s">
        <v>503</v>
      </c>
      <c r="G444" s="439">
        <v>864500000</v>
      </c>
    </row>
    <row r="445" spans="1:7" ht="15">
      <c r="A445" s="519"/>
      <c r="B445" s="520"/>
      <c r="C445" s="520"/>
      <c r="D445" s="520" t="s">
        <v>542</v>
      </c>
      <c r="E445" s="438" t="s">
        <v>565</v>
      </c>
      <c r="F445" s="438" t="s">
        <v>566</v>
      </c>
      <c r="G445" s="439">
        <v>6000000</v>
      </c>
    </row>
    <row r="446" spans="1:7" ht="15">
      <c r="A446" s="519"/>
      <c r="B446" s="520"/>
      <c r="C446" s="520"/>
      <c r="D446" s="520"/>
      <c r="E446" s="520" t="s">
        <v>501</v>
      </c>
      <c r="F446" s="438" t="s">
        <v>502</v>
      </c>
      <c r="G446" s="439">
        <v>8279999.999999999</v>
      </c>
    </row>
    <row r="447" spans="1:7" ht="15">
      <c r="A447" s="519"/>
      <c r="B447" s="520"/>
      <c r="C447" s="520"/>
      <c r="D447" s="520"/>
      <c r="E447" s="520"/>
      <c r="F447" s="438" t="s">
        <v>503</v>
      </c>
      <c r="G447" s="439">
        <v>150000000</v>
      </c>
    </row>
    <row r="448" spans="1:7" ht="15">
      <c r="A448" s="519"/>
      <c r="B448" s="520"/>
      <c r="C448" s="520"/>
      <c r="D448" s="520"/>
      <c r="E448" s="520" t="s">
        <v>543</v>
      </c>
      <c r="F448" s="438" t="s">
        <v>601</v>
      </c>
      <c r="G448" s="439">
        <v>134820000</v>
      </c>
    </row>
    <row r="449" spans="1:7" ht="15">
      <c r="A449" s="519"/>
      <c r="B449" s="520"/>
      <c r="C449" s="520"/>
      <c r="D449" s="520"/>
      <c r="E449" s="520"/>
      <c r="F449" s="438" t="s">
        <v>544</v>
      </c>
      <c r="G449" s="439">
        <v>900000</v>
      </c>
    </row>
    <row r="450" spans="1:7" ht="15">
      <c r="A450" s="519"/>
      <c r="B450" s="520"/>
      <c r="C450" s="520"/>
      <c r="D450" s="520" t="s">
        <v>534</v>
      </c>
      <c r="E450" s="438" t="s">
        <v>499</v>
      </c>
      <c r="F450" s="438" t="s">
        <v>500</v>
      </c>
      <c r="G450" s="439">
        <v>4560000</v>
      </c>
    </row>
    <row r="451" spans="1:7" ht="15">
      <c r="A451" s="519"/>
      <c r="B451" s="520"/>
      <c r="C451" s="520"/>
      <c r="D451" s="520"/>
      <c r="E451" s="438" t="s">
        <v>565</v>
      </c>
      <c r="F451" s="438" t="s">
        <v>566</v>
      </c>
      <c r="G451" s="439">
        <v>1000000</v>
      </c>
    </row>
    <row r="452" spans="1:7" ht="15">
      <c r="A452" s="519"/>
      <c r="B452" s="520"/>
      <c r="C452" s="520"/>
      <c r="D452" s="520"/>
      <c r="E452" s="520" t="s">
        <v>501</v>
      </c>
      <c r="F452" s="438" t="s">
        <v>502</v>
      </c>
      <c r="G452" s="439">
        <v>4120000</v>
      </c>
    </row>
    <row r="453" spans="1:7" ht="15">
      <c r="A453" s="519"/>
      <c r="B453" s="520"/>
      <c r="C453" s="520"/>
      <c r="D453" s="520"/>
      <c r="E453" s="520"/>
      <c r="F453" s="438" t="s">
        <v>503</v>
      </c>
      <c r="G453" s="439">
        <v>140320000</v>
      </c>
    </row>
    <row r="454" spans="1:7" ht="15">
      <c r="A454" s="519"/>
      <c r="B454" s="438" t="s">
        <v>552</v>
      </c>
      <c r="C454" s="438" t="s">
        <v>497</v>
      </c>
      <c r="D454" s="438" t="s">
        <v>588</v>
      </c>
      <c r="E454" s="438" t="s">
        <v>543</v>
      </c>
      <c r="F454" s="438" t="s">
        <v>544</v>
      </c>
      <c r="G454" s="439">
        <v>150000000</v>
      </c>
    </row>
    <row r="455" spans="1:7" ht="15">
      <c r="A455" s="519"/>
      <c r="B455" s="520" t="s">
        <v>584</v>
      </c>
      <c r="C455" s="520" t="s">
        <v>519</v>
      </c>
      <c r="D455" s="520" t="s">
        <v>585</v>
      </c>
      <c r="E455" s="438" t="s">
        <v>501</v>
      </c>
      <c r="F455" s="438" t="s">
        <v>503</v>
      </c>
      <c r="G455" s="439">
        <v>38164216</v>
      </c>
    </row>
    <row r="456" spans="1:7" ht="15">
      <c r="A456" s="519"/>
      <c r="B456" s="520"/>
      <c r="C456" s="520"/>
      <c r="D456" s="520"/>
      <c r="E456" s="438" t="s">
        <v>586</v>
      </c>
      <c r="F456" s="438" t="s">
        <v>587</v>
      </c>
      <c r="G456" s="439">
        <v>223031100</v>
      </c>
    </row>
    <row r="457" spans="1:7" ht="15">
      <c r="A457" s="519"/>
      <c r="B457" s="438" t="s">
        <v>504</v>
      </c>
      <c r="C457" s="438" t="s">
        <v>580</v>
      </c>
      <c r="D457" s="438" t="s">
        <v>581</v>
      </c>
      <c r="E457" s="438" t="s">
        <v>586</v>
      </c>
      <c r="F457" s="438" t="s">
        <v>587</v>
      </c>
      <c r="G457" s="439">
        <v>215424000</v>
      </c>
    </row>
    <row r="458" spans="1:7" ht="15">
      <c r="A458" s="519"/>
      <c r="B458" s="438" t="s">
        <v>594</v>
      </c>
      <c r="C458" s="438" t="s">
        <v>529</v>
      </c>
      <c r="D458" s="438" t="s">
        <v>530</v>
      </c>
      <c r="E458" s="438" t="s">
        <v>543</v>
      </c>
      <c r="F458" s="438" t="s">
        <v>544</v>
      </c>
      <c r="G458" s="439">
        <v>399980000</v>
      </c>
    </row>
    <row r="459" spans="1:7" ht="15">
      <c r="A459" s="519"/>
      <c r="B459" s="520" t="s">
        <v>518</v>
      </c>
      <c r="C459" s="520" t="s">
        <v>519</v>
      </c>
      <c r="D459" s="520" t="s">
        <v>585</v>
      </c>
      <c r="E459" s="438" t="s">
        <v>604</v>
      </c>
      <c r="F459" s="438" t="s">
        <v>619</v>
      </c>
      <c r="G459" s="439">
        <v>32970000</v>
      </c>
    </row>
    <row r="460" spans="1:7" ht="15">
      <c r="A460" s="519"/>
      <c r="B460" s="520"/>
      <c r="C460" s="520"/>
      <c r="D460" s="520"/>
      <c r="E460" s="438" t="s">
        <v>570</v>
      </c>
      <c r="F460" s="438" t="s">
        <v>600</v>
      </c>
      <c r="G460" s="439">
        <v>443000</v>
      </c>
    </row>
    <row r="461" spans="1:7" ht="15">
      <c r="A461" s="519"/>
      <c r="B461" s="520"/>
      <c r="C461" s="520"/>
      <c r="D461" s="520"/>
      <c r="E461" s="520" t="s">
        <v>499</v>
      </c>
      <c r="F461" s="438" t="s">
        <v>500</v>
      </c>
      <c r="G461" s="439">
        <v>4301000</v>
      </c>
    </row>
    <row r="462" spans="1:7" ht="15">
      <c r="A462" s="519"/>
      <c r="B462" s="520"/>
      <c r="C462" s="520"/>
      <c r="D462" s="520"/>
      <c r="E462" s="520"/>
      <c r="F462" s="438" t="s">
        <v>541</v>
      </c>
      <c r="G462" s="439">
        <v>1600000</v>
      </c>
    </row>
    <row r="463" spans="1:7" ht="15">
      <c r="A463" s="519"/>
      <c r="B463" s="520"/>
      <c r="C463" s="520"/>
      <c r="D463" s="520"/>
      <c r="E463" s="520" t="s">
        <v>565</v>
      </c>
      <c r="F463" s="438" t="s">
        <v>566</v>
      </c>
      <c r="G463" s="439">
        <v>4600000</v>
      </c>
    </row>
    <row r="464" spans="1:7" ht="15">
      <c r="A464" s="519"/>
      <c r="B464" s="520"/>
      <c r="C464" s="520"/>
      <c r="D464" s="520"/>
      <c r="E464" s="520"/>
      <c r="F464" s="438" t="s">
        <v>620</v>
      </c>
      <c r="G464" s="439">
        <v>2000000</v>
      </c>
    </row>
    <row r="465" spans="1:7" ht="15">
      <c r="A465" s="519"/>
      <c r="B465" s="520"/>
      <c r="C465" s="520"/>
      <c r="D465" s="520"/>
      <c r="E465" s="520"/>
      <c r="F465" s="438" t="s">
        <v>582</v>
      </c>
      <c r="G465" s="439">
        <v>1500000</v>
      </c>
    </row>
    <row r="466" spans="1:7" ht="15">
      <c r="A466" s="519"/>
      <c r="B466" s="520"/>
      <c r="C466" s="520"/>
      <c r="D466" s="520"/>
      <c r="E466" s="520"/>
      <c r="F466" s="438" t="s">
        <v>583</v>
      </c>
      <c r="G466" s="439">
        <v>11200000</v>
      </c>
    </row>
    <row r="467" spans="1:7" ht="15">
      <c r="A467" s="519"/>
      <c r="B467" s="520"/>
      <c r="C467" s="520"/>
      <c r="D467" s="520"/>
      <c r="E467" s="520" t="s">
        <v>501</v>
      </c>
      <c r="F467" s="438" t="s">
        <v>502</v>
      </c>
      <c r="G467" s="439">
        <v>9186000</v>
      </c>
    </row>
    <row r="468" spans="1:7" ht="15">
      <c r="A468" s="519"/>
      <c r="B468" s="520"/>
      <c r="C468" s="520"/>
      <c r="D468" s="520"/>
      <c r="E468" s="520"/>
      <c r="F468" s="438" t="s">
        <v>589</v>
      </c>
      <c r="G468" s="439">
        <v>39558230</v>
      </c>
    </row>
    <row r="469" spans="1:7" ht="15">
      <c r="A469" s="519"/>
      <c r="B469" s="520"/>
      <c r="C469" s="520"/>
      <c r="D469" s="520"/>
      <c r="E469" s="520"/>
      <c r="F469" s="438" t="s">
        <v>503</v>
      </c>
      <c r="G469" s="439">
        <v>66935000</v>
      </c>
    </row>
    <row r="470" spans="1:7" ht="15">
      <c r="A470" s="519"/>
      <c r="B470" s="520"/>
      <c r="C470" s="520"/>
      <c r="D470" s="520"/>
      <c r="E470" s="438" t="s">
        <v>543</v>
      </c>
      <c r="F470" s="438" t="s">
        <v>544</v>
      </c>
      <c r="G470" s="439">
        <v>174810000</v>
      </c>
    </row>
    <row r="471" spans="1:7" ht="15" hidden="1">
      <c r="A471" s="519"/>
      <c r="B471" s="520"/>
      <c r="C471" s="520"/>
      <c r="D471" s="520"/>
      <c r="E471" s="520" t="s">
        <v>586</v>
      </c>
      <c r="F471" s="438" t="s">
        <v>649</v>
      </c>
      <c r="G471" s="439">
        <v>0</v>
      </c>
    </row>
    <row r="472" spans="1:7" ht="15">
      <c r="A472" s="519"/>
      <c r="B472" s="520"/>
      <c r="C472" s="520"/>
      <c r="D472" s="520"/>
      <c r="E472" s="520"/>
      <c r="F472" s="438" t="s">
        <v>587</v>
      </c>
      <c r="G472" s="439">
        <v>832608316</v>
      </c>
    </row>
    <row r="473" spans="1:7" ht="15">
      <c r="A473" s="519"/>
      <c r="B473" s="520"/>
      <c r="C473" s="520"/>
      <c r="D473" s="520"/>
      <c r="E473" s="520"/>
      <c r="F473" s="438" t="s">
        <v>621</v>
      </c>
      <c r="G473" s="439">
        <v>1160000</v>
      </c>
    </row>
    <row r="474" spans="1:7" ht="15">
      <c r="A474" s="519"/>
      <c r="B474" s="520"/>
      <c r="C474" s="520" t="s">
        <v>497</v>
      </c>
      <c r="D474" s="520" t="s">
        <v>531</v>
      </c>
      <c r="E474" s="438" t="s">
        <v>516</v>
      </c>
      <c r="F474" s="438" t="s">
        <v>517</v>
      </c>
      <c r="G474" s="439">
        <v>250445000</v>
      </c>
    </row>
    <row r="475" spans="1:7" ht="15">
      <c r="A475" s="519"/>
      <c r="B475" s="520"/>
      <c r="C475" s="520"/>
      <c r="D475" s="520"/>
      <c r="E475" s="520" t="s">
        <v>523</v>
      </c>
      <c r="F475" s="438" t="s">
        <v>527</v>
      </c>
      <c r="G475" s="439">
        <v>5985000</v>
      </c>
    </row>
    <row r="476" spans="1:7" ht="15">
      <c r="A476" s="519"/>
      <c r="B476" s="520"/>
      <c r="C476" s="520"/>
      <c r="D476" s="520"/>
      <c r="E476" s="520"/>
      <c r="F476" s="438" t="s">
        <v>524</v>
      </c>
      <c r="G476" s="439">
        <v>13575000</v>
      </c>
    </row>
    <row r="477" spans="1:7" ht="15">
      <c r="A477" s="519"/>
      <c r="B477" s="520"/>
      <c r="C477" s="520"/>
      <c r="D477" s="520"/>
      <c r="E477" s="520"/>
      <c r="F477" s="438" t="s">
        <v>525</v>
      </c>
      <c r="G477" s="439">
        <v>5274000</v>
      </c>
    </row>
    <row r="478" spans="1:7" ht="15">
      <c r="A478" s="519"/>
      <c r="B478" s="520" t="s">
        <v>508</v>
      </c>
      <c r="C478" s="520" t="s">
        <v>497</v>
      </c>
      <c r="D478" s="520" t="s">
        <v>498</v>
      </c>
      <c r="E478" s="438" t="s">
        <v>574</v>
      </c>
      <c r="F478" s="438" t="s">
        <v>579</v>
      </c>
      <c r="G478" s="439">
        <v>400000</v>
      </c>
    </row>
    <row r="479" spans="1:7" ht="15">
      <c r="A479" s="519"/>
      <c r="B479" s="520"/>
      <c r="C479" s="520"/>
      <c r="D479" s="520"/>
      <c r="E479" s="438" t="s">
        <v>501</v>
      </c>
      <c r="F479" s="438" t="s">
        <v>503</v>
      </c>
      <c r="G479" s="439">
        <v>10800000</v>
      </c>
    </row>
    <row r="480" spans="1:7" ht="15">
      <c r="A480" s="519"/>
      <c r="B480" s="520"/>
      <c r="C480" s="520"/>
      <c r="D480" s="520" t="s">
        <v>542</v>
      </c>
      <c r="E480" s="438" t="s">
        <v>574</v>
      </c>
      <c r="F480" s="438" t="s">
        <v>576</v>
      </c>
      <c r="G480" s="439">
        <v>300000</v>
      </c>
    </row>
    <row r="481" spans="1:7" ht="15">
      <c r="A481" s="519"/>
      <c r="B481" s="520"/>
      <c r="C481" s="520"/>
      <c r="D481" s="520"/>
      <c r="E481" s="438" t="s">
        <v>501</v>
      </c>
      <c r="F481" s="438" t="s">
        <v>502</v>
      </c>
      <c r="G481" s="439">
        <v>325000</v>
      </c>
    </row>
    <row r="482" spans="1:7" ht="15">
      <c r="A482" s="519"/>
      <c r="B482" s="520"/>
      <c r="C482" s="520"/>
      <c r="D482" s="520"/>
      <c r="E482" s="520" t="s">
        <v>543</v>
      </c>
      <c r="F482" s="438" t="s">
        <v>601</v>
      </c>
      <c r="G482" s="439">
        <v>2200000</v>
      </c>
    </row>
    <row r="483" spans="1:7" ht="15">
      <c r="A483" s="519"/>
      <c r="B483" s="520"/>
      <c r="C483" s="520"/>
      <c r="D483" s="520"/>
      <c r="E483" s="520"/>
      <c r="F483" s="438" t="s">
        <v>544</v>
      </c>
      <c r="G483" s="439">
        <v>338375000</v>
      </c>
    </row>
    <row r="484" spans="1:7" ht="15">
      <c r="A484" s="519"/>
      <c r="B484" s="520"/>
      <c r="C484" s="520"/>
      <c r="D484" s="438" t="s">
        <v>588</v>
      </c>
      <c r="E484" s="438" t="s">
        <v>543</v>
      </c>
      <c r="F484" s="438" t="s">
        <v>544</v>
      </c>
      <c r="G484" s="439">
        <v>20000000</v>
      </c>
    </row>
    <row r="485" spans="1:7" ht="15">
      <c r="A485" s="519"/>
      <c r="B485" s="520"/>
      <c r="C485" s="520" t="s">
        <v>514</v>
      </c>
      <c r="D485" s="520" t="s">
        <v>515</v>
      </c>
      <c r="E485" s="520" t="s">
        <v>499</v>
      </c>
      <c r="F485" s="438" t="s">
        <v>633</v>
      </c>
      <c r="G485" s="439">
        <v>748589880</v>
      </c>
    </row>
    <row r="486" spans="1:7" ht="15">
      <c r="A486" s="519"/>
      <c r="B486" s="520"/>
      <c r="C486" s="520"/>
      <c r="D486" s="520"/>
      <c r="E486" s="520"/>
      <c r="F486" s="438" t="s">
        <v>541</v>
      </c>
      <c r="G486" s="439">
        <v>34172500</v>
      </c>
    </row>
    <row r="487" spans="1:7" ht="15">
      <c r="A487" s="519"/>
      <c r="B487" s="520"/>
      <c r="C487" s="520"/>
      <c r="D487" s="520"/>
      <c r="E487" s="438" t="s">
        <v>553</v>
      </c>
      <c r="F487" s="438" t="s">
        <v>626</v>
      </c>
      <c r="G487" s="439">
        <v>91961978</v>
      </c>
    </row>
    <row r="488" spans="1:7" ht="15">
      <c r="A488" s="519"/>
      <c r="B488" s="520"/>
      <c r="C488" s="520"/>
      <c r="D488" s="520"/>
      <c r="E488" s="438" t="s">
        <v>543</v>
      </c>
      <c r="F488" s="438" t="s">
        <v>544</v>
      </c>
      <c r="G488" s="439">
        <v>113709999</v>
      </c>
    </row>
    <row r="489" spans="1:7" ht="15">
      <c r="A489" s="519" t="s">
        <v>650</v>
      </c>
      <c r="B489" s="520" t="s">
        <v>518</v>
      </c>
      <c r="C489" s="520" t="s">
        <v>519</v>
      </c>
      <c r="D489" s="520" t="s">
        <v>520</v>
      </c>
      <c r="E489" s="438" t="s">
        <v>516</v>
      </c>
      <c r="F489" s="438" t="s">
        <v>517</v>
      </c>
      <c r="G489" s="439">
        <v>16232000000</v>
      </c>
    </row>
    <row r="490" spans="1:7" ht="15">
      <c r="A490" s="519"/>
      <c r="B490" s="520"/>
      <c r="C490" s="520"/>
      <c r="D490" s="520"/>
      <c r="E490" s="520" t="s">
        <v>640</v>
      </c>
      <c r="F490" s="438" t="s">
        <v>641</v>
      </c>
      <c r="G490" s="439">
        <v>400000000</v>
      </c>
    </row>
    <row r="491" spans="1:7" ht="15">
      <c r="A491" s="519"/>
      <c r="B491" s="520"/>
      <c r="C491" s="520"/>
      <c r="D491" s="520"/>
      <c r="E491" s="520"/>
      <c r="F491" s="438" t="s">
        <v>651</v>
      </c>
      <c r="G491" s="439">
        <v>4884000</v>
      </c>
    </row>
    <row r="492" spans="1:7" ht="15">
      <c r="A492" s="519"/>
      <c r="B492" s="520"/>
      <c r="C492" s="520"/>
      <c r="D492" s="520"/>
      <c r="E492" s="520" t="s">
        <v>523</v>
      </c>
      <c r="F492" s="438" t="s">
        <v>527</v>
      </c>
      <c r="G492" s="439">
        <v>150000000</v>
      </c>
    </row>
    <row r="493" spans="1:7" ht="15">
      <c r="A493" s="519"/>
      <c r="B493" s="520"/>
      <c r="C493" s="520"/>
      <c r="D493" s="520"/>
      <c r="E493" s="520"/>
      <c r="F493" s="438" t="s">
        <v>524</v>
      </c>
      <c r="G493" s="439">
        <v>585082000</v>
      </c>
    </row>
    <row r="494" spans="1:7" ht="15">
      <c r="A494" s="519"/>
      <c r="B494" s="520"/>
      <c r="C494" s="520"/>
      <c r="D494" s="520" t="s">
        <v>526</v>
      </c>
      <c r="E494" s="438" t="s">
        <v>516</v>
      </c>
      <c r="F494" s="438" t="s">
        <v>517</v>
      </c>
      <c r="G494" s="439">
        <v>17154821000</v>
      </c>
    </row>
    <row r="495" spans="1:7" ht="15">
      <c r="A495" s="519"/>
      <c r="B495" s="520"/>
      <c r="C495" s="520"/>
      <c r="D495" s="520"/>
      <c r="E495" s="438" t="s">
        <v>640</v>
      </c>
      <c r="F495" s="438" t="s">
        <v>651</v>
      </c>
      <c r="G495" s="439">
        <v>7277000</v>
      </c>
    </row>
    <row r="496" spans="1:7" ht="15">
      <c r="A496" s="519"/>
      <c r="B496" s="520"/>
      <c r="C496" s="520"/>
      <c r="D496" s="520"/>
      <c r="E496" s="520" t="s">
        <v>523</v>
      </c>
      <c r="F496" s="438" t="s">
        <v>527</v>
      </c>
      <c r="G496" s="439">
        <v>130000000</v>
      </c>
    </row>
    <row r="497" spans="1:7" ht="15">
      <c r="A497" s="519"/>
      <c r="B497" s="520"/>
      <c r="C497" s="520"/>
      <c r="D497" s="520"/>
      <c r="E497" s="520"/>
      <c r="F497" s="438" t="s">
        <v>524</v>
      </c>
      <c r="G497" s="439">
        <v>834997000</v>
      </c>
    </row>
    <row r="498" spans="1:7" ht="15">
      <c r="A498" s="519"/>
      <c r="B498" s="520"/>
      <c r="C498" s="520"/>
      <c r="D498" s="520" t="s">
        <v>528</v>
      </c>
      <c r="E498" s="438" t="s">
        <v>516</v>
      </c>
      <c r="F498" s="438" t="s">
        <v>517</v>
      </c>
      <c r="G498" s="439">
        <v>683142000</v>
      </c>
    </row>
    <row r="499" spans="1:7" ht="15">
      <c r="A499" s="519"/>
      <c r="B499" s="520"/>
      <c r="C499" s="520"/>
      <c r="D499" s="520"/>
      <c r="E499" s="520" t="s">
        <v>523</v>
      </c>
      <c r="F499" s="438" t="s">
        <v>527</v>
      </c>
      <c r="G499" s="439">
        <v>10801000</v>
      </c>
    </row>
    <row r="500" spans="1:7" ht="15">
      <c r="A500" s="519"/>
      <c r="B500" s="520"/>
      <c r="C500" s="520"/>
      <c r="D500" s="520"/>
      <c r="E500" s="520"/>
      <c r="F500" s="438" t="s">
        <v>524</v>
      </c>
      <c r="G500" s="439">
        <v>38673000</v>
      </c>
    </row>
    <row r="501" spans="1:7" ht="15">
      <c r="A501" s="519"/>
      <c r="B501" s="520"/>
      <c r="C501" s="520"/>
      <c r="D501" s="520"/>
      <c r="E501" s="520"/>
      <c r="F501" s="438" t="s">
        <v>525</v>
      </c>
      <c r="G501" s="439">
        <v>17384000</v>
      </c>
    </row>
    <row r="502" spans="1:7" ht="15">
      <c r="A502" s="519"/>
      <c r="B502" s="520"/>
      <c r="C502" s="520"/>
      <c r="D502" s="438" t="s">
        <v>585</v>
      </c>
      <c r="E502" s="438" t="s">
        <v>586</v>
      </c>
      <c r="F502" s="438" t="s">
        <v>587</v>
      </c>
      <c r="G502" s="439">
        <v>219534000</v>
      </c>
    </row>
    <row r="503" spans="1:7" ht="15">
      <c r="A503" s="519"/>
      <c r="B503" s="520"/>
      <c r="C503" s="520"/>
      <c r="D503" s="520" t="s">
        <v>652</v>
      </c>
      <c r="E503" s="438" t="s">
        <v>653</v>
      </c>
      <c r="F503" s="438" t="s">
        <v>654</v>
      </c>
      <c r="G503" s="439">
        <v>5240000</v>
      </c>
    </row>
    <row r="504" spans="1:7" ht="15">
      <c r="A504" s="519"/>
      <c r="B504" s="520"/>
      <c r="C504" s="520"/>
      <c r="D504" s="520"/>
      <c r="E504" s="520" t="s">
        <v>499</v>
      </c>
      <c r="F504" s="438" t="s">
        <v>500</v>
      </c>
      <c r="G504" s="439">
        <v>7891000</v>
      </c>
    </row>
    <row r="505" spans="1:7" ht="15">
      <c r="A505" s="519"/>
      <c r="B505" s="520"/>
      <c r="C505" s="520"/>
      <c r="D505" s="520"/>
      <c r="E505" s="520"/>
      <c r="F505" s="438" t="s">
        <v>541</v>
      </c>
      <c r="G505" s="439">
        <v>3500000</v>
      </c>
    </row>
    <row r="506" spans="1:7" ht="15">
      <c r="A506" s="519"/>
      <c r="B506" s="520"/>
      <c r="C506" s="520"/>
      <c r="D506" s="520"/>
      <c r="E506" s="520" t="s">
        <v>565</v>
      </c>
      <c r="F506" s="438" t="s">
        <v>566</v>
      </c>
      <c r="G506" s="439">
        <v>2700000</v>
      </c>
    </row>
    <row r="507" spans="1:7" ht="15">
      <c r="A507" s="519"/>
      <c r="B507" s="520"/>
      <c r="C507" s="520"/>
      <c r="D507" s="520"/>
      <c r="E507" s="520"/>
      <c r="F507" s="438" t="s">
        <v>583</v>
      </c>
      <c r="G507" s="439">
        <v>2500000</v>
      </c>
    </row>
    <row r="508" spans="1:7" ht="15">
      <c r="A508" s="519"/>
      <c r="B508" s="520"/>
      <c r="C508" s="520"/>
      <c r="D508" s="520"/>
      <c r="E508" s="520" t="s">
        <v>501</v>
      </c>
      <c r="F508" s="438" t="s">
        <v>502</v>
      </c>
      <c r="G508" s="439">
        <v>45542000</v>
      </c>
    </row>
    <row r="509" spans="1:7" ht="15">
      <c r="A509" s="519"/>
      <c r="B509" s="520"/>
      <c r="C509" s="520"/>
      <c r="D509" s="520"/>
      <c r="E509" s="520"/>
      <c r="F509" s="438" t="s">
        <v>503</v>
      </c>
      <c r="G509" s="439">
        <v>19707000</v>
      </c>
    </row>
    <row r="510" spans="1:7" ht="15">
      <c r="A510" s="519"/>
      <c r="B510" s="520"/>
      <c r="C510" s="520"/>
      <c r="D510" s="520"/>
      <c r="E510" s="438" t="s">
        <v>586</v>
      </c>
      <c r="F510" s="438" t="s">
        <v>587</v>
      </c>
      <c r="G510" s="439">
        <v>152327000</v>
      </c>
    </row>
    <row r="511" spans="1:7" ht="15">
      <c r="A511" s="519"/>
      <c r="B511" s="520"/>
      <c r="C511" s="520" t="s">
        <v>550</v>
      </c>
      <c r="D511" s="520" t="s">
        <v>551</v>
      </c>
      <c r="E511" s="438" t="s">
        <v>516</v>
      </c>
      <c r="F511" s="438" t="s">
        <v>517</v>
      </c>
      <c r="G511" s="439">
        <v>721114000</v>
      </c>
    </row>
    <row r="512" spans="1:7" ht="15" hidden="1">
      <c r="A512" s="519"/>
      <c r="B512" s="520"/>
      <c r="C512" s="520"/>
      <c r="D512" s="520"/>
      <c r="E512" s="520" t="s">
        <v>523</v>
      </c>
      <c r="F512" s="438" t="s">
        <v>527</v>
      </c>
      <c r="G512" s="439">
        <v>0</v>
      </c>
    </row>
    <row r="513" spans="1:7" ht="15">
      <c r="A513" s="519"/>
      <c r="B513" s="520"/>
      <c r="C513" s="520"/>
      <c r="D513" s="520"/>
      <c r="E513" s="520"/>
      <c r="F513" s="438" t="s">
        <v>524</v>
      </c>
      <c r="G513" s="439">
        <v>142674000</v>
      </c>
    </row>
    <row r="514" spans="1:7" ht="15">
      <c r="A514" s="519"/>
      <c r="B514" s="520"/>
      <c r="C514" s="520"/>
      <c r="D514" s="520"/>
      <c r="E514" s="520"/>
      <c r="F514" s="438" t="s">
        <v>525</v>
      </c>
      <c r="G514" s="439">
        <v>3886000</v>
      </c>
    </row>
    <row r="515" spans="1:7" ht="15">
      <c r="A515" s="519"/>
      <c r="B515" s="520"/>
      <c r="C515" s="520" t="s">
        <v>497</v>
      </c>
      <c r="D515" s="520" t="s">
        <v>534</v>
      </c>
      <c r="E515" s="438" t="s">
        <v>516</v>
      </c>
      <c r="F515" s="438" t="s">
        <v>517</v>
      </c>
      <c r="G515" s="439">
        <v>148184000</v>
      </c>
    </row>
    <row r="516" spans="1:7" ht="15">
      <c r="A516" s="519"/>
      <c r="B516" s="520"/>
      <c r="C516" s="520"/>
      <c r="D516" s="520"/>
      <c r="E516" s="520" t="s">
        <v>523</v>
      </c>
      <c r="F516" s="438" t="s">
        <v>527</v>
      </c>
      <c r="G516" s="439">
        <v>4996000</v>
      </c>
    </row>
    <row r="517" spans="1:7" ht="15">
      <c r="A517" s="519"/>
      <c r="B517" s="520"/>
      <c r="C517" s="520"/>
      <c r="D517" s="520"/>
      <c r="E517" s="520"/>
      <c r="F517" s="438" t="s">
        <v>524</v>
      </c>
      <c r="G517" s="439">
        <v>33949000</v>
      </c>
    </row>
    <row r="518" spans="1:7" ht="15">
      <c r="A518" s="519"/>
      <c r="B518" s="520"/>
      <c r="C518" s="520"/>
      <c r="D518" s="520"/>
      <c r="E518" s="520"/>
      <c r="F518" s="438" t="s">
        <v>525</v>
      </c>
      <c r="G518" s="439">
        <v>3141000</v>
      </c>
    </row>
    <row r="519" spans="1:7" ht="15">
      <c r="A519" s="519" t="s">
        <v>655</v>
      </c>
      <c r="B519" s="520" t="s">
        <v>656</v>
      </c>
      <c r="C519" s="520" t="s">
        <v>529</v>
      </c>
      <c r="D519" s="520" t="s">
        <v>530</v>
      </c>
      <c r="E519" s="520" t="s">
        <v>574</v>
      </c>
      <c r="F519" s="438" t="s">
        <v>575</v>
      </c>
      <c r="G519" s="439">
        <v>14140000</v>
      </c>
    </row>
    <row r="520" spans="1:7" ht="15">
      <c r="A520" s="519"/>
      <c r="B520" s="520"/>
      <c r="C520" s="520"/>
      <c r="D520" s="520"/>
      <c r="E520" s="520"/>
      <c r="F520" s="438" t="s">
        <v>577</v>
      </c>
      <c r="G520" s="439">
        <v>24500000</v>
      </c>
    </row>
    <row r="521" spans="1:7" ht="15">
      <c r="A521" s="519"/>
      <c r="B521" s="520"/>
      <c r="C521" s="520"/>
      <c r="D521" s="520"/>
      <c r="E521" s="520"/>
      <c r="F521" s="438" t="s">
        <v>578</v>
      </c>
      <c r="G521" s="439">
        <v>20000000</v>
      </c>
    </row>
    <row r="522" spans="1:7" ht="15">
      <c r="A522" s="519"/>
      <c r="B522" s="520"/>
      <c r="C522" s="520"/>
      <c r="D522" s="520"/>
      <c r="E522" s="520"/>
      <c r="F522" s="438" t="s">
        <v>579</v>
      </c>
      <c r="G522" s="439">
        <v>20300000</v>
      </c>
    </row>
    <row r="523" spans="1:7" ht="15">
      <c r="A523" s="519"/>
      <c r="B523" s="520"/>
      <c r="C523" s="520"/>
      <c r="D523" s="520"/>
      <c r="E523" s="520" t="s">
        <v>501</v>
      </c>
      <c r="F523" s="438" t="s">
        <v>589</v>
      </c>
      <c r="G523" s="439">
        <v>12500000</v>
      </c>
    </row>
    <row r="524" spans="1:7" ht="15">
      <c r="A524" s="519"/>
      <c r="B524" s="520"/>
      <c r="C524" s="520"/>
      <c r="D524" s="520"/>
      <c r="E524" s="520"/>
      <c r="F524" s="438" t="s">
        <v>503</v>
      </c>
      <c r="G524" s="439">
        <v>101130000</v>
      </c>
    </row>
    <row r="525" spans="1:7" ht="15">
      <c r="A525" s="519"/>
      <c r="B525" s="520"/>
      <c r="C525" s="520"/>
      <c r="D525" s="520"/>
      <c r="E525" s="438" t="s">
        <v>543</v>
      </c>
      <c r="F525" s="438" t="s">
        <v>617</v>
      </c>
      <c r="G525" s="439">
        <v>47320000</v>
      </c>
    </row>
    <row r="526" spans="1:7" ht="15">
      <c r="A526" s="519"/>
      <c r="B526" s="520" t="s">
        <v>518</v>
      </c>
      <c r="C526" s="520" t="s">
        <v>529</v>
      </c>
      <c r="D526" s="520" t="s">
        <v>530</v>
      </c>
      <c r="E526" s="438" t="s">
        <v>516</v>
      </c>
      <c r="F526" s="438" t="s">
        <v>517</v>
      </c>
      <c r="G526" s="439">
        <v>3654168000</v>
      </c>
    </row>
    <row r="527" spans="1:7" ht="15">
      <c r="A527" s="519"/>
      <c r="B527" s="520"/>
      <c r="C527" s="520"/>
      <c r="D527" s="520"/>
      <c r="E527" s="438" t="s">
        <v>640</v>
      </c>
      <c r="F527" s="438" t="s">
        <v>641</v>
      </c>
      <c r="G527" s="439">
        <v>179568000</v>
      </c>
    </row>
    <row r="528" spans="1:7" ht="15">
      <c r="A528" s="519"/>
      <c r="B528" s="520"/>
      <c r="C528" s="520"/>
      <c r="D528" s="520"/>
      <c r="E528" s="520" t="s">
        <v>523</v>
      </c>
      <c r="F528" s="438" t="s">
        <v>527</v>
      </c>
      <c r="G528" s="439">
        <v>80000000</v>
      </c>
    </row>
    <row r="529" spans="1:7" ht="15">
      <c r="A529" s="519"/>
      <c r="B529" s="520"/>
      <c r="C529" s="520"/>
      <c r="D529" s="520"/>
      <c r="E529" s="520"/>
      <c r="F529" s="438" t="s">
        <v>524</v>
      </c>
      <c r="G529" s="439">
        <v>161975000</v>
      </c>
    </row>
    <row r="530" spans="1:7" ht="15">
      <c r="A530" s="519"/>
      <c r="B530" s="520" t="s">
        <v>508</v>
      </c>
      <c r="C530" s="438" t="s">
        <v>657</v>
      </c>
      <c r="D530" s="438" t="s">
        <v>658</v>
      </c>
      <c r="E530" s="438" t="s">
        <v>634</v>
      </c>
      <c r="F530" s="438" t="s">
        <v>635</v>
      </c>
      <c r="G530" s="439">
        <v>98000000</v>
      </c>
    </row>
    <row r="531" spans="1:7" ht="15">
      <c r="A531" s="519"/>
      <c r="B531" s="520"/>
      <c r="C531" s="520" t="s">
        <v>529</v>
      </c>
      <c r="D531" s="520" t="s">
        <v>530</v>
      </c>
      <c r="E531" s="520" t="s">
        <v>499</v>
      </c>
      <c r="F531" s="438" t="s">
        <v>500</v>
      </c>
      <c r="G531" s="439">
        <v>18038000</v>
      </c>
    </row>
    <row r="532" spans="1:7" ht="15">
      <c r="A532" s="519"/>
      <c r="B532" s="520"/>
      <c r="C532" s="520"/>
      <c r="D532" s="520"/>
      <c r="E532" s="520"/>
      <c r="F532" s="438" t="s">
        <v>633</v>
      </c>
      <c r="G532" s="439">
        <v>93500000</v>
      </c>
    </row>
    <row r="533" spans="1:7" ht="15">
      <c r="A533" s="519"/>
      <c r="B533" s="520"/>
      <c r="C533" s="520"/>
      <c r="D533" s="520"/>
      <c r="E533" s="520"/>
      <c r="F533" s="438" t="s">
        <v>541</v>
      </c>
      <c r="G533" s="439">
        <v>146040000</v>
      </c>
    </row>
    <row r="534" spans="1:7" ht="15">
      <c r="A534" s="519"/>
      <c r="B534" s="520"/>
      <c r="C534" s="520"/>
      <c r="D534" s="520"/>
      <c r="E534" s="520" t="s">
        <v>553</v>
      </c>
      <c r="F534" s="438" t="s">
        <v>568</v>
      </c>
      <c r="G534" s="439">
        <v>27740000</v>
      </c>
    </row>
    <row r="535" spans="1:7" ht="15">
      <c r="A535" s="519"/>
      <c r="B535" s="520"/>
      <c r="C535" s="520"/>
      <c r="D535" s="520"/>
      <c r="E535" s="520"/>
      <c r="F535" s="438" t="s">
        <v>629</v>
      </c>
      <c r="G535" s="439">
        <v>61800000</v>
      </c>
    </row>
    <row r="536" spans="1:7" ht="15">
      <c r="A536" s="519"/>
      <c r="B536" s="520"/>
      <c r="C536" s="520"/>
      <c r="D536" s="520"/>
      <c r="E536" s="438" t="s">
        <v>634</v>
      </c>
      <c r="F536" s="438" t="s">
        <v>659</v>
      </c>
      <c r="G536" s="439">
        <v>20640000</v>
      </c>
    </row>
    <row r="537" spans="1:7" ht="15">
      <c r="A537" s="519"/>
      <c r="B537" s="520"/>
      <c r="C537" s="520"/>
      <c r="D537" s="520"/>
      <c r="E537" s="438" t="s">
        <v>501</v>
      </c>
      <c r="F537" s="438" t="s">
        <v>503</v>
      </c>
      <c r="G537" s="439">
        <v>3960000</v>
      </c>
    </row>
    <row r="538" spans="1:7" ht="15">
      <c r="A538" s="519"/>
      <c r="B538" s="520"/>
      <c r="C538" s="520"/>
      <c r="D538" s="520"/>
      <c r="E538" s="438" t="s">
        <v>543</v>
      </c>
      <c r="F538" s="438" t="s">
        <v>544</v>
      </c>
      <c r="G538" s="439">
        <v>38822000</v>
      </c>
    </row>
    <row r="539" spans="1:7" ht="15">
      <c r="A539" s="519"/>
      <c r="B539" s="520"/>
      <c r="C539" s="438" t="s">
        <v>660</v>
      </c>
      <c r="D539" s="438" t="s">
        <v>661</v>
      </c>
      <c r="E539" s="438" t="s">
        <v>543</v>
      </c>
      <c r="F539" s="438" t="s">
        <v>544</v>
      </c>
      <c r="G539" s="439">
        <v>30000000</v>
      </c>
    </row>
    <row r="540" spans="1:7" ht="15">
      <c r="A540" s="519"/>
      <c r="B540" s="520"/>
      <c r="C540" s="520" t="s">
        <v>497</v>
      </c>
      <c r="D540" s="438" t="s">
        <v>498</v>
      </c>
      <c r="E540" s="438" t="s">
        <v>505</v>
      </c>
      <c r="F540" s="438" t="s">
        <v>506</v>
      </c>
      <c r="G540" s="439">
        <v>40000000</v>
      </c>
    </row>
    <row r="541" spans="1:7" ht="15">
      <c r="A541" s="519"/>
      <c r="B541" s="520"/>
      <c r="C541" s="520"/>
      <c r="D541" s="520" t="s">
        <v>542</v>
      </c>
      <c r="E541" s="520" t="s">
        <v>501</v>
      </c>
      <c r="F541" s="438" t="s">
        <v>502</v>
      </c>
      <c r="G541" s="439">
        <v>38664000</v>
      </c>
    </row>
    <row r="542" spans="1:7" ht="15">
      <c r="A542" s="519"/>
      <c r="B542" s="520"/>
      <c r="C542" s="520"/>
      <c r="D542" s="520"/>
      <c r="E542" s="520"/>
      <c r="F542" s="438" t="s">
        <v>503</v>
      </c>
      <c r="G542" s="439">
        <v>385336000</v>
      </c>
    </row>
    <row r="543" spans="1:7" ht="15">
      <c r="A543" s="519"/>
      <c r="B543" s="520"/>
      <c r="C543" s="520"/>
      <c r="D543" s="438" t="s">
        <v>588</v>
      </c>
      <c r="E543" s="438" t="s">
        <v>543</v>
      </c>
      <c r="F543" s="438" t="s">
        <v>544</v>
      </c>
      <c r="G543" s="439">
        <v>230000000</v>
      </c>
    </row>
    <row r="544" spans="1:7" ht="15">
      <c r="A544" s="519"/>
      <c r="B544" s="520"/>
      <c r="C544" s="438" t="s">
        <v>514</v>
      </c>
      <c r="D544" s="438" t="s">
        <v>515</v>
      </c>
      <c r="E544" s="438" t="s">
        <v>634</v>
      </c>
      <c r="F544" s="438" t="s">
        <v>635</v>
      </c>
      <c r="G544" s="439">
        <v>98000000</v>
      </c>
    </row>
    <row r="545" spans="1:7" ht="15">
      <c r="A545" s="519" t="s">
        <v>662</v>
      </c>
      <c r="B545" s="520" t="s">
        <v>613</v>
      </c>
      <c r="C545" s="520" t="s">
        <v>514</v>
      </c>
      <c r="D545" s="520" t="s">
        <v>610</v>
      </c>
      <c r="E545" s="438" t="s">
        <v>570</v>
      </c>
      <c r="F545" s="438" t="s">
        <v>600</v>
      </c>
      <c r="G545" s="439">
        <v>1430000</v>
      </c>
    </row>
    <row r="546" spans="1:7" ht="15">
      <c r="A546" s="519"/>
      <c r="B546" s="520"/>
      <c r="C546" s="520"/>
      <c r="D546" s="520"/>
      <c r="E546" s="438" t="s">
        <v>499</v>
      </c>
      <c r="F546" s="438" t="s">
        <v>633</v>
      </c>
      <c r="G546" s="439">
        <v>3000000</v>
      </c>
    </row>
    <row r="547" spans="1:7" ht="15">
      <c r="A547" s="519"/>
      <c r="B547" s="520"/>
      <c r="C547" s="520"/>
      <c r="D547" s="520"/>
      <c r="E547" s="520" t="s">
        <v>574</v>
      </c>
      <c r="F547" s="438" t="s">
        <v>575</v>
      </c>
      <c r="G547" s="439">
        <v>1000000</v>
      </c>
    </row>
    <row r="548" spans="1:7" ht="15">
      <c r="A548" s="519"/>
      <c r="B548" s="520"/>
      <c r="C548" s="520"/>
      <c r="D548" s="520"/>
      <c r="E548" s="520"/>
      <c r="F548" s="438" t="s">
        <v>576</v>
      </c>
      <c r="G548" s="439">
        <v>2000000</v>
      </c>
    </row>
    <row r="549" spans="1:7" ht="15">
      <c r="A549" s="519"/>
      <c r="B549" s="520"/>
      <c r="C549" s="520"/>
      <c r="D549" s="520"/>
      <c r="E549" s="520"/>
      <c r="F549" s="438" t="s">
        <v>578</v>
      </c>
      <c r="G549" s="439">
        <v>500000</v>
      </c>
    </row>
    <row r="550" spans="1:7" ht="15">
      <c r="A550" s="519"/>
      <c r="B550" s="520"/>
      <c r="C550" s="520"/>
      <c r="D550" s="520"/>
      <c r="E550" s="520"/>
      <c r="F550" s="438" t="s">
        <v>616</v>
      </c>
      <c r="G550" s="439">
        <v>500000</v>
      </c>
    </row>
    <row r="551" spans="1:7" ht="15">
      <c r="A551" s="519"/>
      <c r="B551" s="520"/>
      <c r="C551" s="520"/>
      <c r="D551" s="520"/>
      <c r="E551" s="520"/>
      <c r="F551" s="438" t="s">
        <v>579</v>
      </c>
      <c r="G551" s="439">
        <v>11150000</v>
      </c>
    </row>
    <row r="552" spans="1:7" ht="15">
      <c r="A552" s="519"/>
      <c r="B552" s="520"/>
      <c r="C552" s="520"/>
      <c r="D552" s="520"/>
      <c r="E552" s="520" t="s">
        <v>561</v>
      </c>
      <c r="F552" s="438" t="s">
        <v>562</v>
      </c>
      <c r="G552" s="439">
        <v>1300000</v>
      </c>
    </row>
    <row r="553" spans="1:7" ht="15">
      <c r="A553" s="519"/>
      <c r="B553" s="520"/>
      <c r="C553" s="520"/>
      <c r="D553" s="520"/>
      <c r="E553" s="520"/>
      <c r="F553" s="438" t="s">
        <v>563</v>
      </c>
      <c r="G553" s="439">
        <v>3300000</v>
      </c>
    </row>
    <row r="554" spans="1:7" ht="15">
      <c r="A554" s="519"/>
      <c r="B554" s="520"/>
      <c r="C554" s="520"/>
      <c r="D554" s="520"/>
      <c r="E554" s="520"/>
      <c r="F554" s="438" t="s">
        <v>663</v>
      </c>
      <c r="G554" s="439">
        <v>1500000</v>
      </c>
    </row>
    <row r="555" spans="1:7" ht="15">
      <c r="A555" s="519"/>
      <c r="B555" s="520"/>
      <c r="C555" s="520"/>
      <c r="D555" s="520"/>
      <c r="E555" s="438" t="s">
        <v>543</v>
      </c>
      <c r="F555" s="438" t="s">
        <v>544</v>
      </c>
      <c r="G555" s="439">
        <v>78620000</v>
      </c>
    </row>
    <row r="556" spans="1:7" ht="15">
      <c r="A556" s="519"/>
      <c r="B556" s="520" t="s">
        <v>664</v>
      </c>
      <c r="C556" s="520" t="s">
        <v>660</v>
      </c>
      <c r="D556" s="438" t="s">
        <v>665</v>
      </c>
      <c r="E556" s="438" t="s">
        <v>543</v>
      </c>
      <c r="F556" s="438" t="s">
        <v>544</v>
      </c>
      <c r="G556" s="439">
        <v>60000000</v>
      </c>
    </row>
    <row r="557" spans="1:7" ht="15">
      <c r="A557" s="519"/>
      <c r="B557" s="520"/>
      <c r="C557" s="520"/>
      <c r="D557" s="438" t="s">
        <v>661</v>
      </c>
      <c r="E557" s="438" t="s">
        <v>501</v>
      </c>
      <c r="F557" s="438" t="s">
        <v>503</v>
      </c>
      <c r="G557" s="439">
        <v>60000000</v>
      </c>
    </row>
    <row r="558" spans="1:7" ht="15">
      <c r="A558" s="519"/>
      <c r="B558" s="520" t="s">
        <v>508</v>
      </c>
      <c r="C558" s="520" t="s">
        <v>529</v>
      </c>
      <c r="D558" s="520" t="s">
        <v>530</v>
      </c>
      <c r="E558" s="438" t="s">
        <v>499</v>
      </c>
      <c r="F558" s="438" t="s">
        <v>633</v>
      </c>
      <c r="G558" s="439">
        <v>53480000</v>
      </c>
    </row>
    <row r="559" spans="1:7" ht="15">
      <c r="A559" s="519"/>
      <c r="B559" s="520"/>
      <c r="C559" s="520"/>
      <c r="D559" s="520"/>
      <c r="E559" s="438" t="s">
        <v>634</v>
      </c>
      <c r="F559" s="438" t="s">
        <v>635</v>
      </c>
      <c r="G559" s="439">
        <v>74000000</v>
      </c>
    </row>
    <row r="560" spans="1:7" ht="15">
      <c r="A560" s="519"/>
      <c r="B560" s="520"/>
      <c r="C560" s="520"/>
      <c r="D560" s="520"/>
      <c r="E560" s="438" t="s">
        <v>505</v>
      </c>
      <c r="F560" s="438" t="s">
        <v>506</v>
      </c>
      <c r="G560" s="439">
        <v>514634000</v>
      </c>
    </row>
    <row r="561" spans="1:7" ht="15">
      <c r="A561" s="519"/>
      <c r="B561" s="520"/>
      <c r="C561" s="520"/>
      <c r="D561" s="520"/>
      <c r="E561" s="438" t="s">
        <v>543</v>
      </c>
      <c r="F561" s="438" t="s">
        <v>544</v>
      </c>
      <c r="G561" s="439">
        <v>3300000</v>
      </c>
    </row>
    <row r="562" spans="1:7" ht="15">
      <c r="A562" s="519"/>
      <c r="B562" s="520"/>
      <c r="C562" s="520"/>
      <c r="D562" s="438" t="s">
        <v>591</v>
      </c>
      <c r="E562" s="438" t="s">
        <v>505</v>
      </c>
      <c r="F562" s="438" t="s">
        <v>506</v>
      </c>
      <c r="G562" s="439">
        <v>62800000</v>
      </c>
    </row>
    <row r="563" spans="1:7" ht="15">
      <c r="A563" s="519"/>
      <c r="B563" s="520"/>
      <c r="C563" s="438" t="s">
        <v>624</v>
      </c>
      <c r="D563" s="438" t="s">
        <v>625</v>
      </c>
      <c r="E563" s="438" t="s">
        <v>634</v>
      </c>
      <c r="F563" s="438" t="s">
        <v>635</v>
      </c>
      <c r="G563" s="439">
        <v>21000000</v>
      </c>
    </row>
    <row r="564" spans="1:7" ht="15">
      <c r="A564" s="519"/>
      <c r="B564" s="520"/>
      <c r="C564" s="520" t="s">
        <v>660</v>
      </c>
      <c r="D564" s="520" t="s">
        <v>661</v>
      </c>
      <c r="E564" s="520" t="s">
        <v>553</v>
      </c>
      <c r="F564" s="438" t="s">
        <v>554</v>
      </c>
      <c r="G564" s="439">
        <v>60000000</v>
      </c>
    </row>
    <row r="565" spans="1:7" ht="15">
      <c r="A565" s="519"/>
      <c r="B565" s="520"/>
      <c r="C565" s="520"/>
      <c r="D565" s="520"/>
      <c r="E565" s="520"/>
      <c r="F565" s="438" t="s">
        <v>666</v>
      </c>
      <c r="G565" s="439">
        <v>60000000</v>
      </c>
    </row>
    <row r="566" spans="1:7" ht="15">
      <c r="A566" s="519"/>
      <c r="B566" s="520"/>
      <c r="C566" s="520"/>
      <c r="D566" s="520"/>
      <c r="E566" s="520"/>
      <c r="F566" s="438" t="s">
        <v>629</v>
      </c>
      <c r="G566" s="439">
        <v>150000000</v>
      </c>
    </row>
    <row r="567" spans="1:7" ht="15">
      <c r="A567" s="519"/>
      <c r="B567" s="520"/>
      <c r="C567" s="520"/>
      <c r="D567" s="520"/>
      <c r="E567" s="438" t="s">
        <v>543</v>
      </c>
      <c r="F567" s="438" t="s">
        <v>544</v>
      </c>
      <c r="G567" s="439">
        <v>102642000</v>
      </c>
    </row>
    <row r="568" spans="1:7" ht="15">
      <c r="A568" s="519"/>
      <c r="B568" s="520"/>
      <c r="C568" s="520" t="s">
        <v>497</v>
      </c>
      <c r="D568" s="520" t="s">
        <v>498</v>
      </c>
      <c r="E568" s="438" t="s">
        <v>505</v>
      </c>
      <c r="F568" s="438" t="s">
        <v>506</v>
      </c>
      <c r="G568" s="439">
        <v>77500000</v>
      </c>
    </row>
    <row r="569" spans="1:7" ht="15">
      <c r="A569" s="519"/>
      <c r="B569" s="520"/>
      <c r="C569" s="520"/>
      <c r="D569" s="520"/>
      <c r="E569" s="438" t="s">
        <v>543</v>
      </c>
      <c r="F569" s="438" t="s">
        <v>544</v>
      </c>
      <c r="G569" s="439">
        <v>149950000</v>
      </c>
    </row>
    <row r="570" spans="1:7" ht="15">
      <c r="A570" s="519"/>
      <c r="B570" s="520"/>
      <c r="C570" s="520"/>
      <c r="D570" s="520" t="s">
        <v>542</v>
      </c>
      <c r="E570" s="520" t="s">
        <v>499</v>
      </c>
      <c r="F570" s="438" t="s">
        <v>633</v>
      </c>
      <c r="G570" s="439">
        <v>213000000</v>
      </c>
    </row>
    <row r="571" spans="1:7" ht="15">
      <c r="A571" s="519"/>
      <c r="B571" s="520"/>
      <c r="C571" s="520"/>
      <c r="D571" s="520"/>
      <c r="E571" s="520"/>
      <c r="F571" s="438" t="s">
        <v>541</v>
      </c>
      <c r="G571" s="439">
        <v>5425000</v>
      </c>
    </row>
    <row r="572" spans="1:7" ht="15">
      <c r="A572" s="519"/>
      <c r="B572" s="520"/>
      <c r="C572" s="520"/>
      <c r="D572" s="520"/>
      <c r="E572" s="520" t="s">
        <v>553</v>
      </c>
      <c r="F572" s="438" t="s">
        <v>554</v>
      </c>
      <c r="G572" s="439">
        <v>222865000</v>
      </c>
    </row>
    <row r="573" spans="1:7" ht="15">
      <c r="A573" s="519"/>
      <c r="B573" s="520"/>
      <c r="C573" s="520"/>
      <c r="D573" s="520"/>
      <c r="E573" s="520"/>
      <c r="F573" s="438" t="s">
        <v>629</v>
      </c>
      <c r="G573" s="439">
        <v>65629999.99999999</v>
      </c>
    </row>
    <row r="574" spans="1:7" ht="15">
      <c r="A574" s="519"/>
      <c r="B574" s="520"/>
      <c r="C574" s="520"/>
      <c r="D574" s="520"/>
      <c r="E574" s="438" t="s">
        <v>501</v>
      </c>
      <c r="F574" s="438" t="s">
        <v>503</v>
      </c>
      <c r="G574" s="439">
        <v>326460000</v>
      </c>
    </row>
    <row r="575" spans="1:7" ht="15">
      <c r="A575" s="519"/>
      <c r="B575" s="520"/>
      <c r="C575" s="520"/>
      <c r="D575" s="520"/>
      <c r="E575" s="520" t="s">
        <v>543</v>
      </c>
      <c r="F575" s="438" t="s">
        <v>601</v>
      </c>
      <c r="G575" s="439">
        <v>7990000</v>
      </c>
    </row>
    <row r="576" spans="1:7" ht="15">
      <c r="A576" s="519"/>
      <c r="B576" s="520"/>
      <c r="C576" s="520"/>
      <c r="D576" s="520"/>
      <c r="E576" s="520"/>
      <c r="F576" s="438" t="s">
        <v>544</v>
      </c>
      <c r="G576" s="439">
        <v>11480000</v>
      </c>
    </row>
    <row r="577" spans="1:7" ht="15" hidden="1">
      <c r="A577" s="519"/>
      <c r="B577" s="520"/>
      <c r="C577" s="520"/>
      <c r="D577" s="520" t="s">
        <v>532</v>
      </c>
      <c r="E577" s="438" t="s">
        <v>653</v>
      </c>
      <c r="F577" s="438" t="s">
        <v>654</v>
      </c>
      <c r="G577" s="439">
        <v>0</v>
      </c>
    </row>
    <row r="578" spans="1:7" ht="15">
      <c r="A578" s="519"/>
      <c r="B578" s="520"/>
      <c r="C578" s="520"/>
      <c r="D578" s="520"/>
      <c r="E578" s="438" t="s">
        <v>553</v>
      </c>
      <c r="F578" s="438" t="s">
        <v>554</v>
      </c>
      <c r="G578" s="439">
        <v>229730000</v>
      </c>
    </row>
    <row r="579" spans="1:7" ht="15">
      <c r="A579" s="519"/>
      <c r="B579" s="520"/>
      <c r="C579" s="520"/>
      <c r="D579" s="520" t="s">
        <v>645</v>
      </c>
      <c r="E579" s="438" t="s">
        <v>634</v>
      </c>
      <c r="F579" s="438" t="s">
        <v>659</v>
      </c>
      <c r="G579" s="439">
        <v>42500000</v>
      </c>
    </row>
    <row r="580" spans="1:7" ht="15">
      <c r="A580" s="519"/>
      <c r="B580" s="520"/>
      <c r="C580" s="520"/>
      <c r="D580" s="520"/>
      <c r="E580" s="438" t="s">
        <v>505</v>
      </c>
      <c r="F580" s="438" t="s">
        <v>506</v>
      </c>
      <c r="G580" s="439">
        <v>245340000</v>
      </c>
    </row>
    <row r="581" spans="1:7" ht="15">
      <c r="A581" s="519"/>
      <c r="B581" s="520"/>
      <c r="C581" s="520"/>
      <c r="D581" s="520" t="s">
        <v>588</v>
      </c>
      <c r="E581" s="438" t="s">
        <v>505</v>
      </c>
      <c r="F581" s="438" t="s">
        <v>506</v>
      </c>
      <c r="G581" s="439">
        <v>400000000</v>
      </c>
    </row>
    <row r="582" spans="1:7" ht="15">
      <c r="A582" s="519"/>
      <c r="B582" s="520"/>
      <c r="C582" s="520"/>
      <c r="D582" s="520"/>
      <c r="E582" s="438" t="s">
        <v>543</v>
      </c>
      <c r="F582" s="438" t="s">
        <v>544</v>
      </c>
      <c r="G582" s="439">
        <v>730000000</v>
      </c>
    </row>
    <row r="583" spans="1:7" ht="15">
      <c r="A583" s="519"/>
      <c r="B583" s="520"/>
      <c r="C583" s="520" t="s">
        <v>547</v>
      </c>
      <c r="D583" s="520" t="s">
        <v>646</v>
      </c>
      <c r="E583" s="438" t="s">
        <v>505</v>
      </c>
      <c r="F583" s="438" t="s">
        <v>506</v>
      </c>
      <c r="G583" s="439">
        <v>1149680000</v>
      </c>
    </row>
    <row r="584" spans="1:7" ht="15">
      <c r="A584" s="519"/>
      <c r="B584" s="520"/>
      <c r="C584" s="520"/>
      <c r="D584" s="520"/>
      <c r="E584" s="438" t="s">
        <v>543</v>
      </c>
      <c r="F584" s="438" t="s">
        <v>544</v>
      </c>
      <c r="G584" s="439">
        <v>50000000</v>
      </c>
    </row>
    <row r="585" spans="1:7" ht="15">
      <c r="A585" s="519" t="s">
        <v>805</v>
      </c>
      <c r="B585" s="520" t="s">
        <v>518</v>
      </c>
      <c r="C585" s="520" t="s">
        <v>514</v>
      </c>
      <c r="D585" s="520" t="s">
        <v>515</v>
      </c>
      <c r="E585" s="438" t="s">
        <v>640</v>
      </c>
      <c r="F585" s="438" t="s">
        <v>641</v>
      </c>
      <c r="G585" s="439">
        <v>831256000</v>
      </c>
    </row>
    <row r="586" spans="1:7" ht="15">
      <c r="A586" s="519"/>
      <c r="B586" s="520"/>
      <c r="C586" s="520"/>
      <c r="D586" s="520"/>
      <c r="E586" s="438" t="s">
        <v>523</v>
      </c>
      <c r="F586" s="438" t="s">
        <v>524</v>
      </c>
      <c r="G586" s="439">
        <v>2744000</v>
      </c>
    </row>
    <row r="587" spans="1:7" ht="15">
      <c r="A587" s="519"/>
      <c r="B587" s="520" t="s">
        <v>508</v>
      </c>
      <c r="C587" s="520" t="s">
        <v>497</v>
      </c>
      <c r="D587" s="438" t="s">
        <v>498</v>
      </c>
      <c r="E587" s="438" t="s">
        <v>505</v>
      </c>
      <c r="F587" s="438" t="s">
        <v>506</v>
      </c>
      <c r="G587" s="439">
        <v>238170000</v>
      </c>
    </row>
    <row r="588" spans="1:7" ht="15">
      <c r="A588" s="519"/>
      <c r="B588" s="520"/>
      <c r="C588" s="520"/>
      <c r="D588" s="520" t="s">
        <v>542</v>
      </c>
      <c r="E588" s="520" t="s">
        <v>499</v>
      </c>
      <c r="F588" s="438" t="s">
        <v>633</v>
      </c>
      <c r="G588" s="439">
        <v>407020000</v>
      </c>
    </row>
    <row r="589" spans="1:7" ht="15">
      <c r="A589" s="519"/>
      <c r="B589" s="520"/>
      <c r="C589" s="520"/>
      <c r="D589" s="520"/>
      <c r="E589" s="520"/>
      <c r="F589" s="438" t="s">
        <v>541</v>
      </c>
      <c r="G589" s="439">
        <v>11400000</v>
      </c>
    </row>
    <row r="590" spans="1:7" ht="15">
      <c r="A590" s="519"/>
      <c r="B590" s="520"/>
      <c r="C590" s="520"/>
      <c r="D590" s="520"/>
      <c r="E590" s="438" t="s">
        <v>565</v>
      </c>
      <c r="F590" s="438" t="s">
        <v>583</v>
      </c>
      <c r="G590" s="439">
        <v>7700000</v>
      </c>
    </row>
    <row r="591" spans="1:7" ht="15">
      <c r="A591" s="519"/>
      <c r="B591" s="520"/>
      <c r="C591" s="520"/>
      <c r="D591" s="520"/>
      <c r="E591" s="520" t="s">
        <v>634</v>
      </c>
      <c r="F591" s="438" t="s">
        <v>659</v>
      </c>
      <c r="G591" s="439">
        <v>11000000</v>
      </c>
    </row>
    <row r="592" spans="1:7" ht="15">
      <c r="A592" s="519"/>
      <c r="B592" s="520"/>
      <c r="C592" s="520"/>
      <c r="D592" s="520"/>
      <c r="E592" s="520"/>
      <c r="F592" s="438" t="s">
        <v>635</v>
      </c>
      <c r="G592" s="439">
        <v>584340000</v>
      </c>
    </row>
    <row r="593" spans="1:7" ht="15">
      <c r="A593" s="519"/>
      <c r="B593" s="520"/>
      <c r="C593" s="520"/>
      <c r="D593" s="520"/>
      <c r="E593" s="520" t="s">
        <v>501</v>
      </c>
      <c r="F593" s="438" t="s">
        <v>502</v>
      </c>
      <c r="G593" s="439">
        <v>10210000</v>
      </c>
    </row>
    <row r="594" spans="1:7" ht="15">
      <c r="A594" s="519"/>
      <c r="B594" s="520"/>
      <c r="C594" s="520"/>
      <c r="D594" s="520"/>
      <c r="E594" s="520"/>
      <c r="F594" s="438" t="s">
        <v>503</v>
      </c>
      <c r="G594" s="439">
        <v>541496000</v>
      </c>
    </row>
    <row r="595" spans="1:7" ht="15">
      <c r="A595" s="519"/>
      <c r="B595" s="520"/>
      <c r="C595" s="520"/>
      <c r="D595" s="520"/>
      <c r="E595" s="438" t="s">
        <v>543</v>
      </c>
      <c r="F595" s="438" t="s">
        <v>544</v>
      </c>
      <c r="G595" s="439">
        <v>272124000</v>
      </c>
    </row>
    <row r="596" spans="1:7" ht="15">
      <c r="A596" s="519"/>
      <c r="B596" s="520"/>
      <c r="C596" s="520"/>
      <c r="D596" s="438" t="s">
        <v>645</v>
      </c>
      <c r="E596" s="438" t="s">
        <v>505</v>
      </c>
      <c r="F596" s="438" t="s">
        <v>506</v>
      </c>
      <c r="G596" s="439">
        <v>60630000</v>
      </c>
    </row>
    <row r="597" spans="1:7" ht="15">
      <c r="A597" s="519"/>
      <c r="B597" s="520"/>
      <c r="C597" s="438" t="s">
        <v>547</v>
      </c>
      <c r="D597" s="438" t="s">
        <v>646</v>
      </c>
      <c r="E597" s="438" t="s">
        <v>505</v>
      </c>
      <c r="F597" s="438" t="s">
        <v>506</v>
      </c>
      <c r="G597" s="439">
        <v>1200000</v>
      </c>
    </row>
    <row r="598" spans="1:7" ht="15.75" customHeight="1">
      <c r="A598" s="521" t="s">
        <v>667</v>
      </c>
      <c r="B598" s="520" t="s">
        <v>609</v>
      </c>
      <c r="C598" s="520" t="s">
        <v>514</v>
      </c>
      <c r="D598" s="520" t="s">
        <v>610</v>
      </c>
      <c r="E598" s="438" t="s">
        <v>570</v>
      </c>
      <c r="F598" s="438" t="s">
        <v>600</v>
      </c>
      <c r="G598" s="439">
        <v>10736400</v>
      </c>
    </row>
    <row r="599" spans="1:7" ht="15">
      <c r="A599" s="522"/>
      <c r="B599" s="520"/>
      <c r="C599" s="520"/>
      <c r="D599" s="520"/>
      <c r="E599" s="438" t="s">
        <v>499</v>
      </c>
      <c r="F599" s="438" t="s">
        <v>500</v>
      </c>
      <c r="G599" s="439">
        <v>24090000</v>
      </c>
    </row>
    <row r="600" spans="1:7" ht="15">
      <c r="A600" s="522"/>
      <c r="B600" s="520"/>
      <c r="C600" s="520"/>
      <c r="D600" s="520"/>
      <c r="E600" s="520" t="s">
        <v>574</v>
      </c>
      <c r="F600" s="438" t="s">
        <v>575</v>
      </c>
      <c r="G600" s="439">
        <v>31850000</v>
      </c>
    </row>
    <row r="601" spans="1:7" ht="15">
      <c r="A601" s="522"/>
      <c r="B601" s="520"/>
      <c r="C601" s="520"/>
      <c r="D601" s="520"/>
      <c r="E601" s="520"/>
      <c r="F601" s="438" t="s">
        <v>576</v>
      </c>
      <c r="G601" s="439">
        <v>35800000</v>
      </c>
    </row>
    <row r="602" spans="1:7" ht="15">
      <c r="A602" s="522"/>
      <c r="B602" s="520"/>
      <c r="C602" s="520"/>
      <c r="D602" s="520"/>
      <c r="E602" s="520"/>
      <c r="F602" s="438" t="s">
        <v>593</v>
      </c>
      <c r="G602" s="439">
        <v>169100000</v>
      </c>
    </row>
    <row r="603" spans="1:7" ht="15">
      <c r="A603" s="522"/>
      <c r="B603" s="520"/>
      <c r="C603" s="520"/>
      <c r="D603" s="520"/>
      <c r="E603" s="520"/>
      <c r="F603" s="438" t="s">
        <v>579</v>
      </c>
      <c r="G603" s="439">
        <v>19093600</v>
      </c>
    </row>
    <row r="604" spans="1:7" ht="15">
      <c r="A604" s="522"/>
      <c r="B604" s="520"/>
      <c r="C604" s="520"/>
      <c r="D604" s="520"/>
      <c r="E604" s="438" t="s">
        <v>561</v>
      </c>
      <c r="F604" s="438" t="s">
        <v>563</v>
      </c>
      <c r="G604" s="439">
        <v>9330000</v>
      </c>
    </row>
    <row r="605" spans="1:7" ht="15">
      <c r="A605" s="522"/>
      <c r="B605" s="520" t="s">
        <v>612</v>
      </c>
      <c r="C605" s="520" t="s">
        <v>514</v>
      </c>
      <c r="D605" s="520" t="s">
        <v>610</v>
      </c>
      <c r="E605" s="520" t="s">
        <v>574</v>
      </c>
      <c r="F605" s="438" t="s">
        <v>575</v>
      </c>
      <c r="G605" s="439">
        <v>2400000</v>
      </c>
    </row>
    <row r="606" spans="1:7" ht="15">
      <c r="A606" s="522"/>
      <c r="B606" s="520"/>
      <c r="C606" s="520"/>
      <c r="D606" s="520"/>
      <c r="E606" s="520"/>
      <c r="F606" s="438" t="s">
        <v>576</v>
      </c>
      <c r="G606" s="439">
        <v>3000000</v>
      </c>
    </row>
    <row r="607" spans="1:7" ht="15">
      <c r="A607" s="522"/>
      <c r="B607" s="520" t="s">
        <v>171</v>
      </c>
      <c r="C607" s="520" t="s">
        <v>171</v>
      </c>
      <c r="D607" s="520" t="s">
        <v>171</v>
      </c>
      <c r="E607" s="520" t="s">
        <v>574</v>
      </c>
      <c r="F607" s="438" t="s">
        <v>593</v>
      </c>
      <c r="G607" s="439">
        <v>24000000</v>
      </c>
    </row>
    <row r="608" spans="1:7" ht="15">
      <c r="A608" s="522"/>
      <c r="B608" s="520"/>
      <c r="C608" s="520"/>
      <c r="D608" s="520"/>
      <c r="E608" s="520"/>
      <c r="F608" s="438" t="s">
        <v>579</v>
      </c>
      <c r="G608" s="439">
        <v>25800000</v>
      </c>
    </row>
    <row r="609" spans="1:7" ht="15">
      <c r="A609" s="522"/>
      <c r="B609" s="520"/>
      <c r="C609" s="520"/>
      <c r="D609" s="520"/>
      <c r="E609" s="438" t="s">
        <v>501</v>
      </c>
      <c r="F609" s="438" t="s">
        <v>503</v>
      </c>
      <c r="G609" s="439">
        <v>264800000</v>
      </c>
    </row>
    <row r="610" spans="1:7" ht="15">
      <c r="A610" s="522"/>
      <c r="B610" s="520" t="s">
        <v>613</v>
      </c>
      <c r="C610" s="520" t="s">
        <v>514</v>
      </c>
      <c r="D610" s="520" t="s">
        <v>610</v>
      </c>
      <c r="E610" s="438" t="s">
        <v>570</v>
      </c>
      <c r="F610" s="438" t="s">
        <v>600</v>
      </c>
      <c r="G610" s="439">
        <v>1440000</v>
      </c>
    </row>
    <row r="611" spans="1:7" ht="15">
      <c r="A611" s="522"/>
      <c r="B611" s="520"/>
      <c r="C611" s="520"/>
      <c r="D611" s="520"/>
      <c r="E611" s="438" t="s">
        <v>561</v>
      </c>
      <c r="F611" s="438" t="s">
        <v>563</v>
      </c>
      <c r="G611" s="439">
        <v>1560000</v>
      </c>
    </row>
    <row r="612" spans="1:7" ht="15">
      <c r="A612" s="522"/>
      <c r="B612" s="520"/>
      <c r="C612" s="520"/>
      <c r="D612" s="520"/>
      <c r="E612" s="438" t="s">
        <v>543</v>
      </c>
      <c r="F612" s="438" t="s">
        <v>544</v>
      </c>
      <c r="G612" s="439">
        <v>47000000</v>
      </c>
    </row>
    <row r="613" spans="1:7" ht="15">
      <c r="A613" s="522"/>
      <c r="B613" s="520" t="s">
        <v>668</v>
      </c>
      <c r="C613" s="520" t="s">
        <v>514</v>
      </c>
      <c r="D613" s="520" t="s">
        <v>610</v>
      </c>
      <c r="E613" s="438" t="s">
        <v>570</v>
      </c>
      <c r="F613" s="438" t="s">
        <v>600</v>
      </c>
      <c r="G613" s="439">
        <v>1600000</v>
      </c>
    </row>
    <row r="614" spans="1:7" ht="15">
      <c r="A614" s="522"/>
      <c r="B614" s="520"/>
      <c r="C614" s="520"/>
      <c r="D614" s="520"/>
      <c r="E614" s="520" t="s">
        <v>574</v>
      </c>
      <c r="F614" s="438" t="s">
        <v>575</v>
      </c>
      <c r="G614" s="439">
        <v>22500000</v>
      </c>
    </row>
    <row r="615" spans="1:7" ht="15">
      <c r="A615" s="522"/>
      <c r="B615" s="520"/>
      <c r="C615" s="520"/>
      <c r="D615" s="520"/>
      <c r="E615" s="520"/>
      <c r="F615" s="438" t="s">
        <v>576</v>
      </c>
      <c r="G615" s="439">
        <v>3000000</v>
      </c>
    </row>
    <row r="616" spans="1:7" ht="15">
      <c r="A616" s="522"/>
      <c r="B616" s="520"/>
      <c r="C616" s="520"/>
      <c r="D616" s="520"/>
      <c r="E616" s="520"/>
      <c r="F616" s="438" t="s">
        <v>616</v>
      </c>
      <c r="G616" s="439">
        <v>5400000</v>
      </c>
    </row>
    <row r="617" spans="1:7" ht="15">
      <c r="A617" s="522"/>
      <c r="B617" s="520"/>
      <c r="C617" s="520"/>
      <c r="D617" s="520"/>
      <c r="E617" s="520"/>
      <c r="F617" s="438" t="s">
        <v>593</v>
      </c>
      <c r="G617" s="439">
        <v>58500000</v>
      </c>
    </row>
    <row r="618" spans="1:7" ht="15">
      <c r="A618" s="523"/>
      <c r="B618" s="520"/>
      <c r="C618" s="520"/>
      <c r="D618" s="520"/>
      <c r="E618" s="520"/>
      <c r="F618" s="438" t="s">
        <v>579</v>
      </c>
      <c r="G618" s="439">
        <v>9000000</v>
      </c>
    </row>
    <row r="619" spans="1:7" ht="15">
      <c r="A619" s="519" t="s">
        <v>669</v>
      </c>
      <c r="B619" s="520" t="s">
        <v>546</v>
      </c>
      <c r="C619" s="520" t="s">
        <v>657</v>
      </c>
      <c r="D619" s="520" t="s">
        <v>658</v>
      </c>
      <c r="E619" s="438" t="s">
        <v>559</v>
      </c>
      <c r="F619" s="438" t="s">
        <v>560</v>
      </c>
      <c r="G619" s="439">
        <v>90000000</v>
      </c>
    </row>
    <row r="620" spans="1:7" ht="15">
      <c r="A620" s="519"/>
      <c r="B620" s="520"/>
      <c r="C620" s="520"/>
      <c r="D620" s="520"/>
      <c r="E620" s="438" t="s">
        <v>501</v>
      </c>
      <c r="F620" s="438" t="s">
        <v>589</v>
      </c>
      <c r="G620" s="439">
        <v>590000000</v>
      </c>
    </row>
    <row r="621" spans="1:7" ht="15">
      <c r="A621" s="519" t="s">
        <v>806</v>
      </c>
      <c r="B621" s="520" t="s">
        <v>599</v>
      </c>
      <c r="C621" s="520" t="s">
        <v>497</v>
      </c>
      <c r="D621" s="520" t="s">
        <v>498</v>
      </c>
      <c r="E621" s="438" t="s">
        <v>570</v>
      </c>
      <c r="F621" s="438" t="s">
        <v>600</v>
      </c>
      <c r="G621" s="439">
        <v>1367000</v>
      </c>
    </row>
    <row r="622" spans="1:7" ht="15">
      <c r="A622" s="519"/>
      <c r="B622" s="520"/>
      <c r="C622" s="520"/>
      <c r="D622" s="520"/>
      <c r="E622" s="520" t="s">
        <v>574</v>
      </c>
      <c r="F622" s="438" t="s">
        <v>575</v>
      </c>
      <c r="G622" s="439">
        <v>4000000</v>
      </c>
    </row>
    <row r="623" spans="1:7" ht="15">
      <c r="A623" s="519"/>
      <c r="B623" s="520"/>
      <c r="C623" s="520"/>
      <c r="D623" s="520"/>
      <c r="E623" s="520"/>
      <c r="F623" s="438" t="s">
        <v>576</v>
      </c>
      <c r="G623" s="439">
        <v>6000000</v>
      </c>
    </row>
    <row r="624" spans="1:7" ht="15">
      <c r="A624" s="519"/>
      <c r="B624" s="520"/>
      <c r="C624" s="520"/>
      <c r="D624" s="520"/>
      <c r="E624" s="520"/>
      <c r="F624" s="438" t="s">
        <v>577</v>
      </c>
      <c r="G624" s="439">
        <v>11250000</v>
      </c>
    </row>
    <row r="625" spans="1:7" ht="15">
      <c r="A625" s="519"/>
      <c r="B625" s="520"/>
      <c r="C625" s="520"/>
      <c r="D625" s="520"/>
      <c r="E625" s="520"/>
      <c r="F625" s="438" t="s">
        <v>578</v>
      </c>
      <c r="G625" s="439">
        <v>9000000</v>
      </c>
    </row>
    <row r="626" spans="1:7" ht="15">
      <c r="A626" s="519"/>
      <c r="B626" s="520"/>
      <c r="C626" s="520"/>
      <c r="D626" s="520"/>
      <c r="E626" s="520"/>
      <c r="F626" s="438" t="s">
        <v>593</v>
      </c>
      <c r="G626" s="439">
        <v>13780000</v>
      </c>
    </row>
    <row r="627" spans="1:7" ht="15">
      <c r="A627" s="519"/>
      <c r="B627" s="520"/>
      <c r="C627" s="520"/>
      <c r="D627" s="520"/>
      <c r="E627" s="520"/>
      <c r="F627" s="438" t="s">
        <v>579</v>
      </c>
      <c r="G627" s="439">
        <v>13828000</v>
      </c>
    </row>
    <row r="628" spans="1:7" ht="15">
      <c r="A628" s="519"/>
      <c r="B628" s="520"/>
      <c r="C628" s="520"/>
      <c r="D628" s="520"/>
      <c r="E628" s="438" t="s">
        <v>561</v>
      </c>
      <c r="F628" s="438" t="s">
        <v>563</v>
      </c>
      <c r="G628" s="439">
        <v>300000</v>
      </c>
    </row>
    <row r="629" spans="1:7" ht="15">
      <c r="A629" s="519"/>
      <c r="B629" s="520"/>
      <c r="C629" s="520"/>
      <c r="D629" s="520"/>
      <c r="E629" s="438" t="s">
        <v>501</v>
      </c>
      <c r="F629" s="438" t="s">
        <v>503</v>
      </c>
      <c r="G629" s="439">
        <v>31824000</v>
      </c>
    </row>
    <row r="630" spans="1:7" ht="15">
      <c r="A630" s="519"/>
      <c r="B630" s="520"/>
      <c r="C630" s="520"/>
      <c r="D630" s="520" t="s">
        <v>588</v>
      </c>
      <c r="E630" s="438" t="s">
        <v>501</v>
      </c>
      <c r="F630" s="438" t="s">
        <v>503</v>
      </c>
      <c r="G630" s="439">
        <v>691147000</v>
      </c>
    </row>
    <row r="631" spans="1:7" ht="15">
      <c r="A631" s="519"/>
      <c r="B631" s="520"/>
      <c r="C631" s="520"/>
      <c r="D631" s="520"/>
      <c r="E631" s="438" t="s">
        <v>543</v>
      </c>
      <c r="F631" s="438" t="s">
        <v>544</v>
      </c>
      <c r="G631" s="439">
        <v>2162000</v>
      </c>
    </row>
    <row r="632" spans="1:7" ht="15">
      <c r="A632" s="519"/>
      <c r="B632" s="520" t="s">
        <v>670</v>
      </c>
      <c r="C632" s="520" t="s">
        <v>514</v>
      </c>
      <c r="D632" s="520" t="s">
        <v>671</v>
      </c>
      <c r="E632" s="438" t="s">
        <v>570</v>
      </c>
      <c r="F632" s="438" t="s">
        <v>600</v>
      </c>
      <c r="G632" s="439">
        <v>5000000</v>
      </c>
    </row>
    <row r="633" spans="1:7" ht="15">
      <c r="A633" s="519"/>
      <c r="B633" s="520"/>
      <c r="C633" s="520"/>
      <c r="D633" s="520"/>
      <c r="E633" s="438" t="s">
        <v>574</v>
      </c>
      <c r="F633" s="438" t="s">
        <v>579</v>
      </c>
      <c r="G633" s="439">
        <v>60000000</v>
      </c>
    </row>
    <row r="634" spans="1:7" ht="15">
      <c r="A634" s="519"/>
      <c r="B634" s="520"/>
      <c r="C634" s="520"/>
      <c r="D634" s="520"/>
      <c r="E634" s="438" t="s">
        <v>561</v>
      </c>
      <c r="F634" s="438" t="s">
        <v>563</v>
      </c>
      <c r="G634" s="439">
        <v>25000000</v>
      </c>
    </row>
    <row r="635" spans="1:7" ht="15">
      <c r="A635" s="519"/>
      <c r="B635" s="520" t="s">
        <v>613</v>
      </c>
      <c r="C635" s="520" t="s">
        <v>514</v>
      </c>
      <c r="D635" s="520" t="s">
        <v>610</v>
      </c>
      <c r="E635" s="438" t="s">
        <v>570</v>
      </c>
      <c r="F635" s="438" t="s">
        <v>600</v>
      </c>
      <c r="G635" s="439">
        <v>3900000</v>
      </c>
    </row>
    <row r="636" spans="1:7" ht="15">
      <c r="A636" s="519"/>
      <c r="B636" s="520"/>
      <c r="C636" s="520"/>
      <c r="D636" s="520"/>
      <c r="E636" s="438" t="s">
        <v>559</v>
      </c>
      <c r="F636" s="438" t="s">
        <v>560</v>
      </c>
      <c r="G636" s="439">
        <v>97902000</v>
      </c>
    </row>
    <row r="637" spans="1:7" ht="15">
      <c r="A637" s="519"/>
      <c r="B637" s="520"/>
      <c r="C637" s="520"/>
      <c r="D637" s="520"/>
      <c r="E637" s="520" t="s">
        <v>574</v>
      </c>
      <c r="F637" s="438" t="s">
        <v>575</v>
      </c>
      <c r="G637" s="439">
        <v>11755000</v>
      </c>
    </row>
    <row r="638" spans="1:7" ht="15">
      <c r="A638" s="519"/>
      <c r="B638" s="520"/>
      <c r="C638" s="520"/>
      <c r="D638" s="520"/>
      <c r="E638" s="520"/>
      <c r="F638" s="438" t="s">
        <v>576</v>
      </c>
      <c r="G638" s="439">
        <v>32000000</v>
      </c>
    </row>
    <row r="639" spans="1:7" ht="15">
      <c r="A639" s="519"/>
      <c r="B639" s="520"/>
      <c r="C639" s="520"/>
      <c r="D639" s="520"/>
      <c r="E639" s="520"/>
      <c r="F639" s="438" t="s">
        <v>603</v>
      </c>
      <c r="G639" s="439">
        <v>18500000</v>
      </c>
    </row>
    <row r="640" spans="1:7" ht="15">
      <c r="A640" s="519"/>
      <c r="B640" s="520"/>
      <c r="C640" s="520"/>
      <c r="D640" s="520"/>
      <c r="E640" s="520"/>
      <c r="F640" s="438" t="s">
        <v>577</v>
      </c>
      <c r="G640" s="439">
        <v>17000000</v>
      </c>
    </row>
    <row r="641" spans="1:7" ht="15">
      <c r="A641" s="519"/>
      <c r="B641" s="520"/>
      <c r="C641" s="520"/>
      <c r="D641" s="520"/>
      <c r="E641" s="520"/>
      <c r="F641" s="438" t="s">
        <v>578</v>
      </c>
      <c r="G641" s="439">
        <v>30000000</v>
      </c>
    </row>
    <row r="642" spans="1:7" ht="15">
      <c r="A642" s="519"/>
      <c r="B642" s="520"/>
      <c r="C642" s="520"/>
      <c r="D642" s="520"/>
      <c r="E642" s="520"/>
      <c r="F642" s="438" t="s">
        <v>616</v>
      </c>
      <c r="G642" s="439">
        <v>5000000</v>
      </c>
    </row>
    <row r="643" spans="1:7" ht="15">
      <c r="A643" s="519"/>
      <c r="B643" s="520"/>
      <c r="C643" s="520"/>
      <c r="D643" s="520"/>
      <c r="E643" s="520"/>
      <c r="F643" s="438" t="s">
        <v>579</v>
      </c>
      <c r="G643" s="439">
        <v>115905000</v>
      </c>
    </row>
    <row r="644" spans="1:7" ht="15">
      <c r="A644" s="519"/>
      <c r="B644" s="520"/>
      <c r="C644" s="520"/>
      <c r="D644" s="520"/>
      <c r="E644" s="520" t="s">
        <v>561</v>
      </c>
      <c r="F644" s="438" t="s">
        <v>562</v>
      </c>
      <c r="G644" s="439">
        <v>440000</v>
      </c>
    </row>
    <row r="645" spans="1:7" ht="15">
      <c r="A645" s="519"/>
      <c r="B645" s="520"/>
      <c r="C645" s="520"/>
      <c r="D645" s="520"/>
      <c r="E645" s="520"/>
      <c r="F645" s="438" t="s">
        <v>563</v>
      </c>
      <c r="G645" s="439">
        <v>600000</v>
      </c>
    </row>
    <row r="646" spans="1:7" ht="15">
      <c r="A646" s="519"/>
      <c r="B646" s="520"/>
      <c r="C646" s="520"/>
      <c r="D646" s="520"/>
      <c r="E646" s="520"/>
      <c r="F646" s="438" t="s">
        <v>564</v>
      </c>
      <c r="G646" s="439">
        <v>600000</v>
      </c>
    </row>
    <row r="647" spans="1:7" ht="15">
      <c r="A647" s="519"/>
      <c r="B647" s="520"/>
      <c r="C647" s="520"/>
      <c r="D647" s="520"/>
      <c r="E647" s="438" t="s">
        <v>543</v>
      </c>
      <c r="F647" s="438" t="s">
        <v>544</v>
      </c>
      <c r="G647" s="439">
        <v>136000</v>
      </c>
    </row>
    <row r="648" spans="1:7" ht="15">
      <c r="A648" s="519"/>
      <c r="B648" s="520" t="s">
        <v>614</v>
      </c>
      <c r="C648" s="520" t="s">
        <v>514</v>
      </c>
      <c r="D648" s="520" t="s">
        <v>610</v>
      </c>
      <c r="E648" s="438" t="s">
        <v>570</v>
      </c>
      <c r="F648" s="438" t="s">
        <v>600</v>
      </c>
      <c r="G648" s="439">
        <v>7145000</v>
      </c>
    </row>
    <row r="649" spans="1:7" ht="15">
      <c r="A649" s="519"/>
      <c r="B649" s="520"/>
      <c r="C649" s="520"/>
      <c r="D649" s="520"/>
      <c r="E649" s="520" t="s">
        <v>574</v>
      </c>
      <c r="F649" s="438" t="s">
        <v>575</v>
      </c>
      <c r="G649" s="439">
        <v>34100000</v>
      </c>
    </row>
    <row r="650" spans="1:7" ht="15">
      <c r="A650" s="519"/>
      <c r="B650" s="520"/>
      <c r="C650" s="520"/>
      <c r="D650" s="520"/>
      <c r="E650" s="520"/>
      <c r="F650" s="438" t="s">
        <v>576</v>
      </c>
      <c r="G650" s="439">
        <v>22000000</v>
      </c>
    </row>
    <row r="651" spans="1:7" ht="15">
      <c r="A651" s="519"/>
      <c r="B651" s="520"/>
      <c r="C651" s="520"/>
      <c r="D651" s="520"/>
      <c r="E651" s="520"/>
      <c r="F651" s="438" t="s">
        <v>593</v>
      </c>
      <c r="G651" s="439">
        <v>94000000</v>
      </c>
    </row>
    <row r="652" spans="1:7" ht="15">
      <c r="A652" s="519"/>
      <c r="B652" s="520"/>
      <c r="C652" s="520"/>
      <c r="D652" s="520"/>
      <c r="E652" s="520"/>
      <c r="F652" s="438" t="s">
        <v>579</v>
      </c>
      <c r="G652" s="439">
        <v>67235000</v>
      </c>
    </row>
    <row r="653" spans="1:7" ht="15">
      <c r="A653" s="519"/>
      <c r="B653" s="520"/>
      <c r="C653" s="520"/>
      <c r="D653" s="520"/>
      <c r="E653" s="438" t="s">
        <v>561</v>
      </c>
      <c r="F653" s="438" t="s">
        <v>563</v>
      </c>
      <c r="G653" s="439">
        <v>5520000</v>
      </c>
    </row>
    <row r="654" spans="1:7" ht="15">
      <c r="A654" s="519"/>
      <c r="B654" s="520" t="s">
        <v>672</v>
      </c>
      <c r="C654" s="520" t="s">
        <v>514</v>
      </c>
      <c r="D654" s="520" t="s">
        <v>673</v>
      </c>
      <c r="E654" s="438" t="s">
        <v>499</v>
      </c>
      <c r="F654" s="438" t="s">
        <v>500</v>
      </c>
      <c r="G654" s="439">
        <v>4260000</v>
      </c>
    </row>
    <row r="655" spans="1:7" ht="15">
      <c r="A655" s="519"/>
      <c r="B655" s="520"/>
      <c r="C655" s="520"/>
      <c r="D655" s="520"/>
      <c r="E655" s="520" t="s">
        <v>574</v>
      </c>
      <c r="F655" s="438" t="s">
        <v>575</v>
      </c>
      <c r="G655" s="439">
        <v>43200000</v>
      </c>
    </row>
    <row r="656" spans="1:7" ht="15">
      <c r="A656" s="519"/>
      <c r="B656" s="520"/>
      <c r="C656" s="520"/>
      <c r="D656" s="520"/>
      <c r="E656" s="520"/>
      <c r="F656" s="438" t="s">
        <v>576</v>
      </c>
      <c r="G656" s="439">
        <v>2000000</v>
      </c>
    </row>
    <row r="657" spans="1:7" ht="15">
      <c r="A657" s="519"/>
      <c r="B657" s="520"/>
      <c r="C657" s="520"/>
      <c r="D657" s="520"/>
      <c r="E657" s="520"/>
      <c r="F657" s="438" t="s">
        <v>593</v>
      </c>
      <c r="G657" s="439">
        <v>34940000</v>
      </c>
    </row>
    <row r="658" spans="1:7" ht="15">
      <c r="A658" s="519"/>
      <c r="B658" s="520"/>
      <c r="C658" s="520"/>
      <c r="D658" s="520"/>
      <c r="E658" s="520"/>
      <c r="F658" s="438" t="s">
        <v>579</v>
      </c>
      <c r="G658" s="439">
        <v>5600000</v>
      </c>
    </row>
    <row r="659" spans="1:7" ht="15">
      <c r="A659" s="519"/>
      <c r="B659" s="520" t="s">
        <v>546</v>
      </c>
      <c r="C659" s="520" t="s">
        <v>514</v>
      </c>
      <c r="D659" s="520" t="s">
        <v>515</v>
      </c>
      <c r="E659" s="438" t="s">
        <v>539</v>
      </c>
      <c r="F659" s="438" t="s">
        <v>615</v>
      </c>
      <c r="G659" s="439">
        <v>8148999.999999999</v>
      </c>
    </row>
    <row r="660" spans="1:7" ht="15">
      <c r="A660" s="519"/>
      <c r="B660" s="520"/>
      <c r="C660" s="520"/>
      <c r="D660" s="520"/>
      <c r="E660" s="438" t="s">
        <v>570</v>
      </c>
      <c r="F660" s="438" t="s">
        <v>600</v>
      </c>
      <c r="G660" s="439">
        <v>8380000.000000001</v>
      </c>
    </row>
    <row r="661" spans="1:7" ht="15">
      <c r="A661" s="519"/>
      <c r="B661" s="520"/>
      <c r="C661" s="520"/>
      <c r="D661" s="520"/>
      <c r="E661" s="520" t="s">
        <v>574</v>
      </c>
      <c r="F661" s="438" t="s">
        <v>575</v>
      </c>
      <c r="G661" s="439">
        <v>19565000</v>
      </c>
    </row>
    <row r="662" spans="1:7" ht="15">
      <c r="A662" s="519"/>
      <c r="B662" s="520"/>
      <c r="C662" s="520"/>
      <c r="D662" s="520"/>
      <c r="E662" s="520"/>
      <c r="F662" s="438" t="s">
        <v>576</v>
      </c>
      <c r="G662" s="439">
        <v>34500000</v>
      </c>
    </row>
    <row r="663" spans="1:7" ht="15">
      <c r="A663" s="519"/>
      <c r="B663" s="520"/>
      <c r="C663" s="520"/>
      <c r="D663" s="520"/>
      <c r="E663" s="520"/>
      <c r="F663" s="438" t="s">
        <v>603</v>
      </c>
      <c r="G663" s="439">
        <v>36828000</v>
      </c>
    </row>
    <row r="664" spans="1:7" ht="15">
      <c r="A664" s="519"/>
      <c r="B664" s="520"/>
      <c r="C664" s="520"/>
      <c r="D664" s="520"/>
      <c r="E664" s="520"/>
      <c r="F664" s="438" t="s">
        <v>577</v>
      </c>
      <c r="G664" s="439">
        <v>54300000</v>
      </c>
    </row>
    <row r="665" spans="1:7" ht="15">
      <c r="A665" s="519"/>
      <c r="B665" s="520"/>
      <c r="C665" s="520"/>
      <c r="D665" s="520"/>
      <c r="E665" s="520"/>
      <c r="F665" s="438" t="s">
        <v>578</v>
      </c>
      <c r="G665" s="439">
        <v>2200000</v>
      </c>
    </row>
    <row r="666" spans="1:7" ht="15">
      <c r="A666" s="519"/>
      <c r="B666" s="520"/>
      <c r="C666" s="520"/>
      <c r="D666" s="520"/>
      <c r="E666" s="520"/>
      <c r="F666" s="438" t="s">
        <v>616</v>
      </c>
      <c r="G666" s="439">
        <v>743500</v>
      </c>
    </row>
    <row r="667" spans="1:7" ht="15">
      <c r="A667" s="519"/>
      <c r="B667" s="520"/>
      <c r="C667" s="520"/>
      <c r="D667" s="520"/>
      <c r="E667" s="520"/>
      <c r="F667" s="438" t="s">
        <v>593</v>
      </c>
      <c r="G667" s="439">
        <v>63960000</v>
      </c>
    </row>
    <row r="668" spans="1:7" ht="15">
      <c r="A668" s="519"/>
      <c r="B668" s="520"/>
      <c r="C668" s="520"/>
      <c r="D668" s="520"/>
      <c r="E668" s="520"/>
      <c r="F668" s="438" t="s">
        <v>579</v>
      </c>
      <c r="G668" s="439">
        <v>58668500</v>
      </c>
    </row>
    <row r="669" spans="1:7" ht="15">
      <c r="A669" s="519"/>
      <c r="B669" s="520"/>
      <c r="C669" s="520"/>
      <c r="D669" s="520"/>
      <c r="E669" s="520" t="s">
        <v>561</v>
      </c>
      <c r="F669" s="438" t="s">
        <v>562</v>
      </c>
      <c r="G669" s="439">
        <v>8540000</v>
      </c>
    </row>
    <row r="670" spans="1:7" ht="15">
      <c r="A670" s="519"/>
      <c r="B670" s="520"/>
      <c r="C670" s="520"/>
      <c r="D670" s="520"/>
      <c r="E670" s="520"/>
      <c r="F670" s="438" t="s">
        <v>563</v>
      </c>
      <c r="G670" s="439">
        <v>35070000</v>
      </c>
    </row>
    <row r="671" spans="1:7" ht="15">
      <c r="A671" s="519"/>
      <c r="B671" s="520"/>
      <c r="C671" s="520"/>
      <c r="D671" s="520"/>
      <c r="E671" s="520"/>
      <c r="F671" s="438" t="s">
        <v>564</v>
      </c>
      <c r="G671" s="439">
        <v>33600000</v>
      </c>
    </row>
    <row r="672" spans="1:7" ht="15">
      <c r="A672" s="519"/>
      <c r="B672" s="520"/>
      <c r="C672" s="520"/>
      <c r="D672" s="520"/>
      <c r="E672" s="520"/>
      <c r="F672" s="438" t="s">
        <v>611</v>
      </c>
      <c r="G672" s="439">
        <v>160000</v>
      </c>
    </row>
    <row r="673" spans="1:7" ht="15">
      <c r="A673" s="519"/>
      <c r="B673" s="520" t="s">
        <v>674</v>
      </c>
      <c r="C673" s="520" t="s">
        <v>514</v>
      </c>
      <c r="D673" s="520" t="s">
        <v>515</v>
      </c>
      <c r="E673" s="438" t="s">
        <v>604</v>
      </c>
      <c r="F673" s="438" t="s">
        <v>605</v>
      </c>
      <c r="G673" s="439">
        <v>13600000</v>
      </c>
    </row>
    <row r="674" spans="1:7" ht="15">
      <c r="A674" s="519"/>
      <c r="B674" s="520"/>
      <c r="C674" s="520"/>
      <c r="D674" s="520"/>
      <c r="E674" s="438" t="s">
        <v>570</v>
      </c>
      <c r="F674" s="438" t="s">
        <v>600</v>
      </c>
      <c r="G674" s="439">
        <v>56897900</v>
      </c>
    </row>
    <row r="675" spans="1:7" ht="15">
      <c r="A675" s="519"/>
      <c r="B675" s="520"/>
      <c r="C675" s="520"/>
      <c r="D675" s="520"/>
      <c r="E675" s="520" t="s">
        <v>499</v>
      </c>
      <c r="F675" s="438" t="s">
        <v>500</v>
      </c>
      <c r="G675" s="439">
        <v>42242100</v>
      </c>
    </row>
    <row r="676" spans="1:7" ht="15">
      <c r="A676" s="519"/>
      <c r="B676" s="520"/>
      <c r="C676" s="520"/>
      <c r="D676" s="520"/>
      <c r="E676" s="520"/>
      <c r="F676" s="438" t="s">
        <v>541</v>
      </c>
      <c r="G676" s="439">
        <v>950000</v>
      </c>
    </row>
    <row r="677" spans="1:7" ht="15">
      <c r="A677" s="519"/>
      <c r="B677" s="520"/>
      <c r="C677" s="520"/>
      <c r="D677" s="520"/>
      <c r="E677" s="438" t="s">
        <v>559</v>
      </c>
      <c r="F677" s="438" t="s">
        <v>560</v>
      </c>
      <c r="G677" s="439">
        <v>563295000</v>
      </c>
    </row>
    <row r="678" spans="1:7" ht="15">
      <c r="A678" s="519"/>
      <c r="B678" s="520"/>
      <c r="C678" s="520"/>
      <c r="D678" s="520"/>
      <c r="E678" s="520" t="s">
        <v>574</v>
      </c>
      <c r="F678" s="438" t="s">
        <v>575</v>
      </c>
      <c r="G678" s="439">
        <v>89100000</v>
      </c>
    </row>
    <row r="679" spans="1:7" ht="15">
      <c r="A679" s="519"/>
      <c r="B679" s="520"/>
      <c r="C679" s="520"/>
      <c r="D679" s="520"/>
      <c r="E679" s="520"/>
      <c r="F679" s="438" t="s">
        <v>576</v>
      </c>
      <c r="G679" s="439">
        <v>54000000</v>
      </c>
    </row>
    <row r="680" spans="1:7" ht="15">
      <c r="A680" s="519"/>
      <c r="B680" s="520"/>
      <c r="C680" s="520"/>
      <c r="D680" s="520"/>
      <c r="E680" s="520"/>
      <c r="F680" s="438" t="s">
        <v>603</v>
      </c>
      <c r="G680" s="439">
        <v>67308000</v>
      </c>
    </row>
    <row r="681" spans="1:7" ht="15">
      <c r="A681" s="519"/>
      <c r="B681" s="520"/>
      <c r="C681" s="520"/>
      <c r="D681" s="520"/>
      <c r="E681" s="520"/>
      <c r="F681" s="438" t="s">
        <v>577</v>
      </c>
      <c r="G681" s="439">
        <v>51400000</v>
      </c>
    </row>
    <row r="682" spans="1:7" ht="15">
      <c r="A682" s="519"/>
      <c r="B682" s="520"/>
      <c r="C682" s="520"/>
      <c r="D682" s="520"/>
      <c r="E682" s="520"/>
      <c r="F682" s="438" t="s">
        <v>578</v>
      </c>
      <c r="G682" s="439">
        <v>60000000</v>
      </c>
    </row>
    <row r="683" spans="1:7" ht="15">
      <c r="A683" s="519"/>
      <c r="B683" s="520"/>
      <c r="C683" s="520"/>
      <c r="D683" s="520"/>
      <c r="E683" s="520"/>
      <c r="F683" s="438" t="s">
        <v>593</v>
      </c>
      <c r="G683" s="439">
        <v>109300000</v>
      </c>
    </row>
    <row r="684" spans="1:7" ht="15">
      <c r="A684" s="519"/>
      <c r="B684" s="520"/>
      <c r="C684" s="520"/>
      <c r="D684" s="520"/>
      <c r="E684" s="520"/>
      <c r="F684" s="438" t="s">
        <v>579</v>
      </c>
      <c r="G684" s="439">
        <v>75900000</v>
      </c>
    </row>
    <row r="685" spans="1:7" ht="15">
      <c r="A685" s="519"/>
      <c r="B685" s="520"/>
      <c r="C685" s="520"/>
      <c r="D685" s="520"/>
      <c r="E685" s="520" t="s">
        <v>561</v>
      </c>
      <c r="F685" s="438" t="s">
        <v>562</v>
      </c>
      <c r="G685" s="439">
        <v>1092000</v>
      </c>
    </row>
    <row r="686" spans="1:7" ht="15">
      <c r="A686" s="519"/>
      <c r="B686" s="520"/>
      <c r="C686" s="520"/>
      <c r="D686" s="520"/>
      <c r="E686" s="520"/>
      <c r="F686" s="438" t="s">
        <v>563</v>
      </c>
      <c r="G686" s="439">
        <v>62250000</v>
      </c>
    </row>
    <row r="687" spans="1:7" ht="15">
      <c r="A687" s="519"/>
      <c r="B687" s="520"/>
      <c r="C687" s="520"/>
      <c r="D687" s="520"/>
      <c r="E687" s="520"/>
      <c r="F687" s="438" t="s">
        <v>564</v>
      </c>
      <c r="G687" s="439">
        <v>50400000</v>
      </c>
    </row>
    <row r="688" spans="1:7" ht="15">
      <c r="A688" s="519"/>
      <c r="B688" s="520"/>
      <c r="C688" s="520"/>
      <c r="D688" s="520"/>
      <c r="E688" s="520"/>
      <c r="F688" s="438" t="s">
        <v>611</v>
      </c>
      <c r="G688" s="439">
        <v>890000</v>
      </c>
    </row>
    <row r="689" spans="1:7" ht="15">
      <c r="A689" s="519"/>
      <c r="B689" s="520"/>
      <c r="C689" s="520"/>
      <c r="D689" s="520"/>
      <c r="E689" s="438" t="s">
        <v>565</v>
      </c>
      <c r="F689" s="438" t="s">
        <v>566</v>
      </c>
      <c r="G689" s="439">
        <v>56000000</v>
      </c>
    </row>
    <row r="690" spans="1:7" ht="15">
      <c r="A690" s="519"/>
      <c r="B690" s="520"/>
      <c r="C690" s="520"/>
      <c r="D690" s="520"/>
      <c r="E690" s="520" t="s">
        <v>553</v>
      </c>
      <c r="F690" s="438" t="s">
        <v>568</v>
      </c>
      <c r="G690" s="439">
        <v>7330000</v>
      </c>
    </row>
    <row r="691" spans="1:7" ht="15">
      <c r="A691" s="519"/>
      <c r="B691" s="520"/>
      <c r="C691" s="520"/>
      <c r="D691" s="520"/>
      <c r="E691" s="520"/>
      <c r="F691" s="438" t="s">
        <v>675</v>
      </c>
      <c r="G691" s="439">
        <v>4850000</v>
      </c>
    </row>
    <row r="692" spans="1:7" ht="15">
      <c r="A692" s="519"/>
      <c r="B692" s="520"/>
      <c r="C692" s="520"/>
      <c r="D692" s="520"/>
      <c r="E692" s="438" t="s">
        <v>634</v>
      </c>
      <c r="F692" s="438" t="s">
        <v>676</v>
      </c>
      <c r="G692" s="439">
        <v>5850000</v>
      </c>
    </row>
    <row r="693" spans="1:7" ht="15">
      <c r="A693" s="519"/>
      <c r="B693" s="520"/>
      <c r="C693" s="520"/>
      <c r="D693" s="520"/>
      <c r="E693" s="520" t="s">
        <v>543</v>
      </c>
      <c r="F693" s="438" t="s">
        <v>601</v>
      </c>
      <c r="G693" s="439">
        <v>895000</v>
      </c>
    </row>
    <row r="694" spans="1:7" ht="15">
      <c r="A694" s="519"/>
      <c r="B694" s="520"/>
      <c r="C694" s="520"/>
      <c r="D694" s="520"/>
      <c r="E694" s="520"/>
      <c r="F694" s="438" t="s">
        <v>544</v>
      </c>
      <c r="G694" s="439">
        <v>1300000</v>
      </c>
    </row>
    <row r="695" spans="1:7" ht="15">
      <c r="A695" s="519"/>
      <c r="B695" s="520" t="s">
        <v>513</v>
      </c>
      <c r="C695" s="520" t="s">
        <v>497</v>
      </c>
      <c r="D695" s="520" t="s">
        <v>542</v>
      </c>
      <c r="E695" s="438" t="s">
        <v>499</v>
      </c>
      <c r="F695" s="438" t="s">
        <v>500</v>
      </c>
      <c r="G695" s="439">
        <v>650000</v>
      </c>
    </row>
    <row r="696" spans="1:7" ht="15">
      <c r="A696" s="519"/>
      <c r="B696" s="520"/>
      <c r="C696" s="520"/>
      <c r="D696" s="520"/>
      <c r="E696" s="438" t="s">
        <v>565</v>
      </c>
      <c r="F696" s="438" t="s">
        <v>566</v>
      </c>
      <c r="G696" s="439">
        <v>13400000</v>
      </c>
    </row>
    <row r="697" spans="1:7" ht="15">
      <c r="A697" s="519"/>
      <c r="B697" s="520"/>
      <c r="C697" s="520"/>
      <c r="D697" s="520"/>
      <c r="E697" s="520" t="s">
        <v>501</v>
      </c>
      <c r="F697" s="438" t="s">
        <v>502</v>
      </c>
      <c r="G697" s="439">
        <v>1150000</v>
      </c>
    </row>
    <row r="698" spans="1:7" ht="15">
      <c r="A698" s="519"/>
      <c r="B698" s="520"/>
      <c r="C698" s="520"/>
      <c r="D698" s="520"/>
      <c r="E698" s="520"/>
      <c r="F698" s="438" t="s">
        <v>503</v>
      </c>
      <c r="G698" s="439">
        <v>4800000</v>
      </c>
    </row>
    <row r="699" spans="1:7" ht="15">
      <c r="A699" s="519"/>
      <c r="B699" s="520"/>
      <c r="C699" s="520" t="s">
        <v>514</v>
      </c>
      <c r="D699" s="520" t="s">
        <v>515</v>
      </c>
      <c r="E699" s="520" t="s">
        <v>499</v>
      </c>
      <c r="F699" s="438" t="s">
        <v>500</v>
      </c>
      <c r="G699" s="439">
        <v>1630000</v>
      </c>
    </row>
    <row r="700" spans="1:7" ht="15">
      <c r="A700" s="519"/>
      <c r="B700" s="520"/>
      <c r="C700" s="520"/>
      <c r="D700" s="520"/>
      <c r="E700" s="520"/>
      <c r="F700" s="438" t="s">
        <v>541</v>
      </c>
      <c r="G700" s="439">
        <v>410000</v>
      </c>
    </row>
    <row r="701" spans="1:7" ht="15">
      <c r="A701" s="519"/>
      <c r="B701" s="520"/>
      <c r="C701" s="520"/>
      <c r="D701" s="520"/>
      <c r="E701" s="520" t="s">
        <v>574</v>
      </c>
      <c r="F701" s="438" t="s">
        <v>576</v>
      </c>
      <c r="G701" s="439">
        <v>1000000</v>
      </c>
    </row>
    <row r="702" spans="1:7" ht="15">
      <c r="A702" s="519"/>
      <c r="B702" s="520"/>
      <c r="C702" s="520"/>
      <c r="D702" s="520"/>
      <c r="E702" s="520"/>
      <c r="F702" s="438" t="s">
        <v>616</v>
      </c>
      <c r="G702" s="439">
        <v>2100000</v>
      </c>
    </row>
    <row r="703" spans="1:7" ht="15">
      <c r="A703" s="519"/>
      <c r="B703" s="520"/>
      <c r="C703" s="520"/>
      <c r="D703" s="520"/>
      <c r="E703" s="520"/>
      <c r="F703" s="438" t="s">
        <v>579</v>
      </c>
      <c r="G703" s="439">
        <v>17260000</v>
      </c>
    </row>
    <row r="704" spans="1:7" ht="15">
      <c r="A704" s="519"/>
      <c r="B704" s="520"/>
      <c r="C704" s="520"/>
      <c r="D704" s="520"/>
      <c r="E704" s="438" t="s">
        <v>561</v>
      </c>
      <c r="F704" s="438" t="s">
        <v>563</v>
      </c>
      <c r="G704" s="439">
        <v>8369999.999999999</v>
      </c>
    </row>
    <row r="705" spans="1:7" ht="15">
      <c r="A705" s="519"/>
      <c r="B705" s="520"/>
      <c r="C705" s="520"/>
      <c r="D705" s="520"/>
      <c r="E705" s="438" t="s">
        <v>565</v>
      </c>
      <c r="F705" s="438" t="s">
        <v>566</v>
      </c>
      <c r="G705" s="439">
        <v>17050000</v>
      </c>
    </row>
    <row r="706" spans="1:7" ht="15">
      <c r="A706" s="519"/>
      <c r="B706" s="520"/>
      <c r="C706" s="520"/>
      <c r="D706" s="520"/>
      <c r="E706" s="438" t="s">
        <v>501</v>
      </c>
      <c r="F706" s="438" t="s">
        <v>502</v>
      </c>
      <c r="G706" s="439">
        <v>950000</v>
      </c>
    </row>
    <row r="707" spans="1:7" ht="15">
      <c r="A707" s="519"/>
      <c r="B707" s="520"/>
      <c r="C707" s="438" t="s">
        <v>547</v>
      </c>
      <c r="D707" s="438" t="s">
        <v>548</v>
      </c>
      <c r="E707" s="438" t="s">
        <v>543</v>
      </c>
      <c r="F707" s="438" t="s">
        <v>544</v>
      </c>
      <c r="G707" s="439">
        <v>20000000</v>
      </c>
    </row>
    <row r="708" spans="1:7" ht="15">
      <c r="A708" s="519"/>
      <c r="B708" s="520" t="s">
        <v>496</v>
      </c>
      <c r="C708" s="520" t="s">
        <v>497</v>
      </c>
      <c r="D708" s="520" t="s">
        <v>498</v>
      </c>
      <c r="E708" s="438" t="s">
        <v>539</v>
      </c>
      <c r="F708" s="438" t="s">
        <v>615</v>
      </c>
      <c r="G708" s="439">
        <v>9652000</v>
      </c>
    </row>
    <row r="709" spans="1:7" ht="15">
      <c r="A709" s="519"/>
      <c r="B709" s="520"/>
      <c r="C709" s="520"/>
      <c r="D709" s="520"/>
      <c r="E709" s="438" t="s">
        <v>653</v>
      </c>
      <c r="F709" s="438" t="s">
        <v>677</v>
      </c>
      <c r="G709" s="439">
        <v>1650000</v>
      </c>
    </row>
    <row r="710" spans="1:7" ht="15">
      <c r="A710" s="519"/>
      <c r="B710" s="520"/>
      <c r="C710" s="520"/>
      <c r="D710" s="520"/>
      <c r="E710" s="438" t="s">
        <v>499</v>
      </c>
      <c r="F710" s="438" t="s">
        <v>541</v>
      </c>
      <c r="G710" s="439">
        <v>1500000</v>
      </c>
    </row>
    <row r="711" spans="1:7" ht="15">
      <c r="A711" s="519"/>
      <c r="B711" s="520"/>
      <c r="C711" s="520"/>
      <c r="D711" s="520"/>
      <c r="E711" s="438" t="s">
        <v>559</v>
      </c>
      <c r="F711" s="438" t="s">
        <v>560</v>
      </c>
      <c r="G711" s="439">
        <v>62400000</v>
      </c>
    </row>
    <row r="712" spans="1:7" ht="15">
      <c r="A712" s="519"/>
      <c r="B712" s="520"/>
      <c r="C712" s="520"/>
      <c r="D712" s="520"/>
      <c r="E712" s="520" t="s">
        <v>574</v>
      </c>
      <c r="F712" s="438" t="s">
        <v>575</v>
      </c>
      <c r="G712" s="439">
        <v>5200000</v>
      </c>
    </row>
    <row r="713" spans="1:7" ht="15">
      <c r="A713" s="519"/>
      <c r="B713" s="520"/>
      <c r="C713" s="520"/>
      <c r="D713" s="520"/>
      <c r="E713" s="520"/>
      <c r="F713" s="438" t="s">
        <v>616</v>
      </c>
      <c r="G713" s="439">
        <v>300000</v>
      </c>
    </row>
    <row r="714" spans="1:7" ht="15">
      <c r="A714" s="519"/>
      <c r="B714" s="520"/>
      <c r="C714" s="520"/>
      <c r="D714" s="520"/>
      <c r="E714" s="520"/>
      <c r="F714" s="438" t="s">
        <v>593</v>
      </c>
      <c r="G714" s="439">
        <v>7490000</v>
      </c>
    </row>
    <row r="715" spans="1:7" ht="15">
      <c r="A715" s="519"/>
      <c r="B715" s="520"/>
      <c r="C715" s="520"/>
      <c r="D715" s="520"/>
      <c r="E715" s="520"/>
      <c r="F715" s="438" t="s">
        <v>579</v>
      </c>
      <c r="G715" s="439">
        <v>3810000</v>
      </c>
    </row>
    <row r="716" spans="1:7" ht="15">
      <c r="A716" s="519"/>
      <c r="B716" s="520"/>
      <c r="C716" s="520"/>
      <c r="D716" s="520"/>
      <c r="E716" s="520" t="s">
        <v>561</v>
      </c>
      <c r="F716" s="438" t="s">
        <v>562</v>
      </c>
      <c r="G716" s="439">
        <v>520000</v>
      </c>
    </row>
    <row r="717" spans="1:7" ht="15">
      <c r="A717" s="519"/>
      <c r="B717" s="520"/>
      <c r="C717" s="520"/>
      <c r="D717" s="520"/>
      <c r="E717" s="520"/>
      <c r="F717" s="438" t="s">
        <v>563</v>
      </c>
      <c r="G717" s="439">
        <v>3960000</v>
      </c>
    </row>
    <row r="718" spans="1:7" ht="15">
      <c r="A718" s="519"/>
      <c r="B718" s="520"/>
      <c r="C718" s="520"/>
      <c r="D718" s="520"/>
      <c r="E718" s="520"/>
      <c r="F718" s="438" t="s">
        <v>564</v>
      </c>
      <c r="G718" s="439">
        <v>17500000</v>
      </c>
    </row>
    <row r="719" spans="1:7" ht="15">
      <c r="A719" s="519"/>
      <c r="B719" s="520"/>
      <c r="C719" s="520"/>
      <c r="D719" s="520"/>
      <c r="E719" s="438" t="s">
        <v>565</v>
      </c>
      <c r="F719" s="438" t="s">
        <v>566</v>
      </c>
      <c r="G719" s="439">
        <v>89200000</v>
      </c>
    </row>
    <row r="720" spans="1:7" ht="15">
      <c r="A720" s="519"/>
      <c r="B720" s="520"/>
      <c r="C720" s="520"/>
      <c r="D720" s="520"/>
      <c r="E720" s="520" t="s">
        <v>501</v>
      </c>
      <c r="F720" s="438" t="s">
        <v>502</v>
      </c>
      <c r="G720" s="439">
        <v>4408000</v>
      </c>
    </row>
    <row r="721" spans="1:7" ht="15">
      <c r="A721" s="519"/>
      <c r="B721" s="520"/>
      <c r="C721" s="520"/>
      <c r="D721" s="520"/>
      <c r="E721" s="520"/>
      <c r="F721" s="438" t="s">
        <v>503</v>
      </c>
      <c r="G721" s="439">
        <v>87320000</v>
      </c>
    </row>
    <row r="722" spans="1:7" ht="15">
      <c r="A722" s="519"/>
      <c r="B722" s="520"/>
      <c r="C722" s="520"/>
      <c r="D722" s="520"/>
      <c r="E722" s="520" t="s">
        <v>543</v>
      </c>
      <c r="F722" s="438" t="s">
        <v>601</v>
      </c>
      <c r="G722" s="439">
        <v>16500</v>
      </c>
    </row>
    <row r="723" spans="1:7" ht="15">
      <c r="A723" s="519"/>
      <c r="B723" s="520"/>
      <c r="C723" s="520"/>
      <c r="D723" s="520"/>
      <c r="E723" s="520"/>
      <c r="F723" s="438" t="s">
        <v>617</v>
      </c>
      <c r="G723" s="439">
        <v>93291000</v>
      </c>
    </row>
    <row r="724" spans="1:7" ht="15">
      <c r="A724" s="519"/>
      <c r="B724" s="520"/>
      <c r="C724" s="520"/>
      <c r="D724" s="520" t="s">
        <v>542</v>
      </c>
      <c r="E724" s="520" t="s">
        <v>499</v>
      </c>
      <c r="F724" s="438" t="s">
        <v>500</v>
      </c>
      <c r="G724" s="439">
        <v>8500000</v>
      </c>
    </row>
    <row r="725" spans="1:7" ht="15">
      <c r="A725" s="519"/>
      <c r="B725" s="520"/>
      <c r="C725" s="520"/>
      <c r="D725" s="520"/>
      <c r="E725" s="520"/>
      <c r="F725" s="438" t="s">
        <v>633</v>
      </c>
      <c r="G725" s="439">
        <v>7160000</v>
      </c>
    </row>
    <row r="726" spans="1:7" ht="15">
      <c r="A726" s="519"/>
      <c r="B726" s="520"/>
      <c r="C726" s="520"/>
      <c r="D726" s="520"/>
      <c r="E726" s="520"/>
      <c r="F726" s="438" t="s">
        <v>541</v>
      </c>
      <c r="G726" s="439">
        <v>1650000</v>
      </c>
    </row>
    <row r="727" spans="1:7" ht="15">
      <c r="A727" s="519"/>
      <c r="B727" s="520"/>
      <c r="C727" s="520"/>
      <c r="D727" s="520"/>
      <c r="E727" s="520" t="s">
        <v>574</v>
      </c>
      <c r="F727" s="438" t="s">
        <v>575</v>
      </c>
      <c r="G727" s="439">
        <v>12660000</v>
      </c>
    </row>
    <row r="728" spans="1:7" ht="15">
      <c r="A728" s="519"/>
      <c r="B728" s="520"/>
      <c r="C728" s="520"/>
      <c r="D728" s="520"/>
      <c r="E728" s="520"/>
      <c r="F728" s="438" t="s">
        <v>576</v>
      </c>
      <c r="G728" s="439">
        <v>6900000</v>
      </c>
    </row>
    <row r="729" spans="1:7" ht="15">
      <c r="A729" s="519"/>
      <c r="B729" s="520"/>
      <c r="C729" s="520"/>
      <c r="D729" s="520"/>
      <c r="E729" s="520"/>
      <c r="F729" s="438" t="s">
        <v>593</v>
      </c>
      <c r="G729" s="439">
        <v>12000000</v>
      </c>
    </row>
    <row r="730" spans="1:7" ht="15">
      <c r="A730" s="519"/>
      <c r="B730" s="520"/>
      <c r="C730" s="520"/>
      <c r="D730" s="520"/>
      <c r="E730" s="520"/>
      <c r="F730" s="438" t="s">
        <v>579</v>
      </c>
      <c r="G730" s="439">
        <v>56350000</v>
      </c>
    </row>
    <row r="731" spans="1:7" ht="15">
      <c r="A731" s="519"/>
      <c r="B731" s="520"/>
      <c r="C731" s="520"/>
      <c r="D731" s="520"/>
      <c r="E731" s="520" t="s">
        <v>561</v>
      </c>
      <c r="F731" s="438" t="s">
        <v>562</v>
      </c>
      <c r="G731" s="439">
        <v>5376000</v>
      </c>
    </row>
    <row r="732" spans="1:7" ht="15">
      <c r="A732" s="519"/>
      <c r="B732" s="520"/>
      <c r="C732" s="520"/>
      <c r="D732" s="520"/>
      <c r="E732" s="520"/>
      <c r="F732" s="438" t="s">
        <v>563</v>
      </c>
      <c r="G732" s="439">
        <v>20890000</v>
      </c>
    </row>
    <row r="733" spans="1:7" ht="15">
      <c r="A733" s="519"/>
      <c r="B733" s="520"/>
      <c r="C733" s="520"/>
      <c r="D733" s="520"/>
      <c r="E733" s="520"/>
      <c r="F733" s="438" t="s">
        <v>564</v>
      </c>
      <c r="G733" s="439">
        <v>13608000</v>
      </c>
    </row>
    <row r="734" spans="1:7" ht="15">
      <c r="A734" s="519"/>
      <c r="B734" s="520"/>
      <c r="C734" s="520"/>
      <c r="D734" s="520"/>
      <c r="E734" s="438" t="s">
        <v>565</v>
      </c>
      <c r="F734" s="438" t="s">
        <v>566</v>
      </c>
      <c r="G734" s="439">
        <v>61900000</v>
      </c>
    </row>
    <row r="735" spans="1:7" ht="15">
      <c r="A735" s="519"/>
      <c r="B735" s="520"/>
      <c r="C735" s="520"/>
      <c r="D735" s="520"/>
      <c r="E735" s="438" t="s">
        <v>553</v>
      </c>
      <c r="F735" s="438" t="s">
        <v>568</v>
      </c>
      <c r="G735" s="439">
        <v>2250000</v>
      </c>
    </row>
    <row r="736" spans="1:7" ht="15">
      <c r="A736" s="519"/>
      <c r="B736" s="520"/>
      <c r="C736" s="520"/>
      <c r="D736" s="520"/>
      <c r="E736" s="520" t="s">
        <v>634</v>
      </c>
      <c r="F736" s="438" t="s">
        <v>659</v>
      </c>
      <c r="G736" s="439">
        <v>9950000</v>
      </c>
    </row>
    <row r="737" spans="1:7" ht="15">
      <c r="A737" s="519"/>
      <c r="B737" s="520"/>
      <c r="C737" s="520"/>
      <c r="D737" s="520"/>
      <c r="E737" s="520"/>
      <c r="F737" s="438" t="s">
        <v>676</v>
      </c>
      <c r="G737" s="439">
        <v>14300000</v>
      </c>
    </row>
    <row r="738" spans="1:7" ht="15">
      <c r="A738" s="519"/>
      <c r="B738" s="520"/>
      <c r="C738" s="520"/>
      <c r="D738" s="520"/>
      <c r="E738" s="438" t="s">
        <v>501</v>
      </c>
      <c r="F738" s="438" t="s">
        <v>502</v>
      </c>
      <c r="G738" s="439">
        <v>23592000</v>
      </c>
    </row>
    <row r="739" spans="1:7" ht="15">
      <c r="A739" s="519"/>
      <c r="B739" s="520"/>
      <c r="C739" s="520"/>
      <c r="D739" s="520"/>
      <c r="E739" s="438" t="s">
        <v>678</v>
      </c>
      <c r="F739" s="438" t="s">
        <v>679</v>
      </c>
      <c r="G739" s="439">
        <v>300000</v>
      </c>
    </row>
    <row r="740" spans="1:7" ht="15" hidden="1">
      <c r="A740" s="519"/>
      <c r="B740" s="520"/>
      <c r="C740" s="520"/>
      <c r="D740" s="520"/>
      <c r="E740" s="438" t="s">
        <v>543</v>
      </c>
      <c r="F740" s="438" t="s">
        <v>544</v>
      </c>
      <c r="G740" s="439">
        <v>0</v>
      </c>
    </row>
    <row r="741" spans="1:7" ht="15">
      <c r="A741" s="519"/>
      <c r="B741" s="520"/>
      <c r="C741" s="520" t="s">
        <v>514</v>
      </c>
      <c r="D741" s="520" t="s">
        <v>515</v>
      </c>
      <c r="E741" s="438" t="s">
        <v>499</v>
      </c>
      <c r="F741" s="438" t="s">
        <v>500</v>
      </c>
      <c r="G741" s="439">
        <v>371000</v>
      </c>
    </row>
    <row r="742" spans="1:7" ht="15">
      <c r="A742" s="519"/>
      <c r="B742" s="520"/>
      <c r="C742" s="520"/>
      <c r="D742" s="520"/>
      <c r="E742" s="520" t="s">
        <v>574</v>
      </c>
      <c r="F742" s="438" t="s">
        <v>575</v>
      </c>
      <c r="G742" s="439">
        <v>7980000</v>
      </c>
    </row>
    <row r="743" spans="1:7" ht="15">
      <c r="A743" s="519"/>
      <c r="B743" s="520"/>
      <c r="C743" s="520"/>
      <c r="D743" s="520"/>
      <c r="E743" s="520"/>
      <c r="F743" s="438" t="s">
        <v>576</v>
      </c>
      <c r="G743" s="439">
        <v>1600000</v>
      </c>
    </row>
    <row r="744" spans="1:7" ht="15">
      <c r="A744" s="519"/>
      <c r="B744" s="520"/>
      <c r="C744" s="520"/>
      <c r="D744" s="520"/>
      <c r="E744" s="520"/>
      <c r="F744" s="438" t="s">
        <v>603</v>
      </c>
      <c r="G744" s="439">
        <v>5735000</v>
      </c>
    </row>
    <row r="745" spans="1:7" ht="15">
      <c r="A745" s="519"/>
      <c r="B745" s="520"/>
      <c r="C745" s="520"/>
      <c r="D745" s="520"/>
      <c r="E745" s="520"/>
      <c r="F745" s="438" t="s">
        <v>593</v>
      </c>
      <c r="G745" s="439">
        <v>10038000</v>
      </c>
    </row>
    <row r="746" spans="1:7" ht="15">
      <c r="A746" s="519"/>
      <c r="B746" s="520"/>
      <c r="C746" s="520"/>
      <c r="D746" s="520"/>
      <c r="E746" s="520"/>
      <c r="F746" s="438" t="s">
        <v>579</v>
      </c>
      <c r="G746" s="439">
        <v>3874000</v>
      </c>
    </row>
    <row r="747" spans="1:7" ht="15">
      <c r="A747" s="519"/>
      <c r="B747" s="520"/>
      <c r="C747" s="520"/>
      <c r="D747" s="520"/>
      <c r="E747" s="520" t="s">
        <v>561</v>
      </c>
      <c r="F747" s="438" t="s">
        <v>562</v>
      </c>
      <c r="G747" s="439">
        <v>6659000</v>
      </c>
    </row>
    <row r="748" spans="1:7" ht="15">
      <c r="A748" s="519"/>
      <c r="B748" s="520"/>
      <c r="C748" s="520"/>
      <c r="D748" s="520"/>
      <c r="E748" s="520"/>
      <c r="F748" s="438" t="s">
        <v>563</v>
      </c>
      <c r="G748" s="439">
        <v>10620000</v>
      </c>
    </row>
    <row r="749" spans="1:7" ht="15">
      <c r="A749" s="519"/>
      <c r="B749" s="520"/>
      <c r="C749" s="520"/>
      <c r="D749" s="520"/>
      <c r="E749" s="520"/>
      <c r="F749" s="438" t="s">
        <v>564</v>
      </c>
      <c r="G749" s="439">
        <v>1000000</v>
      </c>
    </row>
    <row r="750" spans="1:7" ht="15">
      <c r="A750" s="519"/>
      <c r="B750" s="520"/>
      <c r="C750" s="520"/>
      <c r="D750" s="520"/>
      <c r="E750" s="438" t="s">
        <v>565</v>
      </c>
      <c r="F750" s="438" t="s">
        <v>566</v>
      </c>
      <c r="G750" s="439">
        <v>24900091</v>
      </c>
    </row>
    <row r="751" spans="1:7" ht="15">
      <c r="A751" s="519"/>
      <c r="B751" s="520"/>
      <c r="C751" s="520"/>
      <c r="D751" s="520"/>
      <c r="E751" s="438" t="s">
        <v>553</v>
      </c>
      <c r="F751" s="438" t="s">
        <v>568</v>
      </c>
      <c r="G751" s="439">
        <v>3350000</v>
      </c>
    </row>
    <row r="752" spans="1:7" ht="15">
      <c r="A752" s="519"/>
      <c r="B752" s="520"/>
      <c r="C752" s="520"/>
      <c r="D752" s="520"/>
      <c r="E752" s="438" t="s">
        <v>634</v>
      </c>
      <c r="F752" s="438" t="s">
        <v>676</v>
      </c>
      <c r="G752" s="439">
        <v>15000000</v>
      </c>
    </row>
    <row r="753" spans="1:7" ht="15">
      <c r="A753" s="519"/>
      <c r="B753" s="520"/>
      <c r="C753" s="520"/>
      <c r="D753" s="520"/>
      <c r="E753" s="520" t="s">
        <v>501</v>
      </c>
      <c r="F753" s="438" t="s">
        <v>502</v>
      </c>
      <c r="G753" s="439">
        <v>1056000</v>
      </c>
    </row>
    <row r="754" spans="1:7" ht="15">
      <c r="A754" s="519"/>
      <c r="B754" s="520"/>
      <c r="C754" s="520"/>
      <c r="D754" s="520"/>
      <c r="E754" s="520"/>
      <c r="F754" s="438" t="s">
        <v>503</v>
      </c>
      <c r="G754" s="439">
        <v>27166909</v>
      </c>
    </row>
    <row r="755" spans="1:7" ht="15">
      <c r="A755" s="519"/>
      <c r="B755" s="520"/>
      <c r="C755" s="520"/>
      <c r="D755" s="520"/>
      <c r="E755" s="520" t="s">
        <v>543</v>
      </c>
      <c r="F755" s="438" t="s">
        <v>601</v>
      </c>
      <c r="G755" s="439">
        <v>13200</v>
      </c>
    </row>
    <row r="756" spans="1:7" ht="15">
      <c r="A756" s="519"/>
      <c r="B756" s="520"/>
      <c r="C756" s="520"/>
      <c r="D756" s="520"/>
      <c r="E756" s="520"/>
      <c r="F756" s="438" t="s">
        <v>617</v>
      </c>
      <c r="G756" s="439">
        <v>18441000</v>
      </c>
    </row>
    <row r="757" spans="1:7" ht="15">
      <c r="A757" s="519"/>
      <c r="B757" s="520"/>
      <c r="C757" s="438" t="s">
        <v>547</v>
      </c>
      <c r="D757" s="438" t="s">
        <v>548</v>
      </c>
      <c r="E757" s="438" t="s">
        <v>501</v>
      </c>
      <c r="F757" s="438" t="s">
        <v>502</v>
      </c>
      <c r="G757" s="439">
        <v>9996000</v>
      </c>
    </row>
    <row r="758" spans="1:7" ht="15">
      <c r="A758" s="519"/>
      <c r="B758" s="520" t="s">
        <v>680</v>
      </c>
      <c r="C758" s="520" t="s">
        <v>547</v>
      </c>
      <c r="D758" s="520" t="s">
        <v>548</v>
      </c>
      <c r="E758" s="520" t="s">
        <v>574</v>
      </c>
      <c r="F758" s="438" t="s">
        <v>576</v>
      </c>
      <c r="G758" s="439">
        <v>800000</v>
      </c>
    </row>
    <row r="759" spans="1:7" ht="15">
      <c r="A759" s="519"/>
      <c r="B759" s="520"/>
      <c r="C759" s="520"/>
      <c r="D759" s="520"/>
      <c r="E759" s="520"/>
      <c r="F759" s="438" t="s">
        <v>593</v>
      </c>
      <c r="G759" s="439">
        <v>7680000</v>
      </c>
    </row>
    <row r="760" spans="1:7" ht="15">
      <c r="A760" s="519"/>
      <c r="B760" s="520"/>
      <c r="C760" s="520"/>
      <c r="D760" s="520"/>
      <c r="E760" s="520"/>
      <c r="F760" s="438" t="s">
        <v>579</v>
      </c>
      <c r="G760" s="439">
        <v>1520000</v>
      </c>
    </row>
    <row r="761" spans="1:7" ht="15">
      <c r="A761" s="519"/>
      <c r="B761" s="520" t="s">
        <v>681</v>
      </c>
      <c r="C761" s="520" t="s">
        <v>547</v>
      </c>
      <c r="D761" s="520" t="s">
        <v>548</v>
      </c>
      <c r="E761" s="520" t="s">
        <v>574</v>
      </c>
      <c r="F761" s="438" t="s">
        <v>575</v>
      </c>
      <c r="G761" s="439">
        <v>1100000</v>
      </c>
    </row>
    <row r="762" spans="1:7" ht="15">
      <c r="A762" s="519"/>
      <c r="B762" s="520"/>
      <c r="C762" s="520"/>
      <c r="D762" s="520"/>
      <c r="E762" s="520"/>
      <c r="F762" s="438" t="s">
        <v>593</v>
      </c>
      <c r="G762" s="439">
        <v>6600000</v>
      </c>
    </row>
    <row r="763" spans="1:7" ht="15">
      <c r="A763" s="519"/>
      <c r="B763" s="520"/>
      <c r="C763" s="520"/>
      <c r="D763" s="520"/>
      <c r="E763" s="520"/>
      <c r="F763" s="438" t="s">
        <v>579</v>
      </c>
      <c r="G763" s="439">
        <v>2300000</v>
      </c>
    </row>
    <row r="764" spans="1:7" ht="15">
      <c r="A764" s="519"/>
      <c r="B764" s="520" t="s">
        <v>682</v>
      </c>
      <c r="C764" s="520" t="s">
        <v>547</v>
      </c>
      <c r="D764" s="520" t="s">
        <v>548</v>
      </c>
      <c r="E764" s="520" t="s">
        <v>574</v>
      </c>
      <c r="F764" s="438" t="s">
        <v>575</v>
      </c>
      <c r="G764" s="439">
        <v>816000</v>
      </c>
    </row>
    <row r="765" spans="1:7" ht="15">
      <c r="A765" s="519"/>
      <c r="B765" s="520"/>
      <c r="C765" s="520"/>
      <c r="D765" s="520"/>
      <c r="E765" s="520"/>
      <c r="F765" s="438" t="s">
        <v>576</v>
      </c>
      <c r="G765" s="439">
        <v>600000</v>
      </c>
    </row>
    <row r="766" spans="1:7" ht="15">
      <c r="A766" s="519"/>
      <c r="B766" s="520"/>
      <c r="C766" s="520"/>
      <c r="D766" s="520"/>
      <c r="E766" s="520"/>
      <c r="F766" s="438" t="s">
        <v>593</v>
      </c>
      <c r="G766" s="439">
        <v>6120000</v>
      </c>
    </row>
    <row r="767" spans="1:7" ht="15">
      <c r="A767" s="519"/>
      <c r="B767" s="520"/>
      <c r="C767" s="520"/>
      <c r="D767" s="520"/>
      <c r="E767" s="520"/>
      <c r="F767" s="438" t="s">
        <v>579</v>
      </c>
      <c r="G767" s="439">
        <v>2464000</v>
      </c>
    </row>
    <row r="768" spans="1:7" ht="15">
      <c r="A768" s="519"/>
      <c r="B768" s="520" t="s">
        <v>683</v>
      </c>
      <c r="C768" s="520" t="s">
        <v>547</v>
      </c>
      <c r="D768" s="520" t="s">
        <v>548</v>
      </c>
      <c r="E768" s="520" t="s">
        <v>574</v>
      </c>
      <c r="F768" s="438" t="s">
        <v>575</v>
      </c>
      <c r="G768" s="439">
        <v>1400000</v>
      </c>
    </row>
    <row r="769" spans="1:7" ht="15">
      <c r="A769" s="519"/>
      <c r="B769" s="520"/>
      <c r="C769" s="520"/>
      <c r="D769" s="520"/>
      <c r="E769" s="520"/>
      <c r="F769" s="438" t="s">
        <v>576</v>
      </c>
      <c r="G769" s="439">
        <v>800000</v>
      </c>
    </row>
    <row r="770" spans="1:7" ht="15">
      <c r="A770" s="519"/>
      <c r="B770" s="520"/>
      <c r="C770" s="520"/>
      <c r="D770" s="520"/>
      <c r="E770" s="520"/>
      <c r="F770" s="438" t="s">
        <v>593</v>
      </c>
      <c r="G770" s="439">
        <v>6000000</v>
      </c>
    </row>
    <row r="771" spans="1:7" ht="15">
      <c r="A771" s="519"/>
      <c r="B771" s="520"/>
      <c r="C771" s="520"/>
      <c r="D771" s="520"/>
      <c r="E771" s="520"/>
      <c r="F771" s="438" t="s">
        <v>579</v>
      </c>
      <c r="G771" s="439">
        <v>1800000</v>
      </c>
    </row>
    <row r="772" spans="1:7" ht="15">
      <c r="A772" s="519"/>
      <c r="B772" s="520" t="s">
        <v>684</v>
      </c>
      <c r="C772" s="520" t="s">
        <v>547</v>
      </c>
      <c r="D772" s="520" t="s">
        <v>548</v>
      </c>
      <c r="E772" s="520" t="s">
        <v>574</v>
      </c>
      <c r="F772" s="438" t="s">
        <v>576</v>
      </c>
      <c r="G772" s="439">
        <v>600000</v>
      </c>
    </row>
    <row r="773" spans="1:7" ht="15">
      <c r="A773" s="519"/>
      <c r="B773" s="520"/>
      <c r="C773" s="520"/>
      <c r="D773" s="520"/>
      <c r="E773" s="520"/>
      <c r="F773" s="438" t="s">
        <v>593</v>
      </c>
      <c r="G773" s="439">
        <v>7200000</v>
      </c>
    </row>
    <row r="774" spans="1:7" ht="15">
      <c r="A774" s="519"/>
      <c r="B774" s="520"/>
      <c r="C774" s="520"/>
      <c r="D774" s="520"/>
      <c r="E774" s="520"/>
      <c r="F774" s="438" t="s">
        <v>579</v>
      </c>
      <c r="G774" s="439">
        <v>2200000</v>
      </c>
    </row>
    <row r="775" spans="1:7" ht="15">
      <c r="A775" s="519"/>
      <c r="B775" s="520" t="s">
        <v>518</v>
      </c>
      <c r="C775" s="520" t="s">
        <v>497</v>
      </c>
      <c r="D775" s="520" t="s">
        <v>542</v>
      </c>
      <c r="E775" s="520" t="s">
        <v>499</v>
      </c>
      <c r="F775" s="438" t="s">
        <v>500</v>
      </c>
      <c r="G775" s="439">
        <v>12150000</v>
      </c>
    </row>
    <row r="776" spans="1:7" ht="15">
      <c r="A776" s="519"/>
      <c r="B776" s="520"/>
      <c r="C776" s="520"/>
      <c r="D776" s="520"/>
      <c r="E776" s="520"/>
      <c r="F776" s="438" t="s">
        <v>541</v>
      </c>
      <c r="G776" s="439">
        <v>600000</v>
      </c>
    </row>
    <row r="777" spans="1:7" ht="15">
      <c r="A777" s="519"/>
      <c r="B777" s="520"/>
      <c r="C777" s="520"/>
      <c r="D777" s="520"/>
      <c r="E777" s="520" t="s">
        <v>574</v>
      </c>
      <c r="F777" s="438" t="s">
        <v>576</v>
      </c>
      <c r="G777" s="439">
        <v>6000000</v>
      </c>
    </row>
    <row r="778" spans="1:7" ht="15">
      <c r="A778" s="519"/>
      <c r="B778" s="520"/>
      <c r="C778" s="520"/>
      <c r="D778" s="520"/>
      <c r="E778" s="520"/>
      <c r="F778" s="438" t="s">
        <v>593</v>
      </c>
      <c r="G778" s="439">
        <v>9760000</v>
      </c>
    </row>
    <row r="779" spans="1:7" ht="15">
      <c r="A779" s="519"/>
      <c r="B779" s="520"/>
      <c r="C779" s="520"/>
      <c r="D779" s="520"/>
      <c r="E779" s="520" t="s">
        <v>561</v>
      </c>
      <c r="F779" s="438" t="s">
        <v>562</v>
      </c>
      <c r="G779" s="439">
        <v>90000</v>
      </c>
    </row>
    <row r="780" spans="1:7" ht="15">
      <c r="A780" s="519"/>
      <c r="B780" s="520"/>
      <c r="C780" s="520"/>
      <c r="D780" s="520"/>
      <c r="E780" s="520"/>
      <c r="F780" s="438" t="s">
        <v>563</v>
      </c>
      <c r="G780" s="439">
        <v>2340000</v>
      </c>
    </row>
    <row r="781" spans="1:7" ht="15">
      <c r="A781" s="519"/>
      <c r="B781" s="520"/>
      <c r="C781" s="520"/>
      <c r="D781" s="520"/>
      <c r="E781" s="520"/>
      <c r="F781" s="438" t="s">
        <v>564</v>
      </c>
      <c r="G781" s="439">
        <v>7042000</v>
      </c>
    </row>
    <row r="782" spans="1:7" ht="15">
      <c r="A782" s="519"/>
      <c r="B782" s="520"/>
      <c r="C782" s="520"/>
      <c r="D782" s="520"/>
      <c r="E782" s="438" t="s">
        <v>565</v>
      </c>
      <c r="F782" s="438" t="s">
        <v>566</v>
      </c>
      <c r="G782" s="439">
        <v>27700000</v>
      </c>
    </row>
    <row r="783" spans="1:7" ht="15">
      <c r="A783" s="519"/>
      <c r="B783" s="520"/>
      <c r="C783" s="520"/>
      <c r="D783" s="520"/>
      <c r="E783" s="438" t="s">
        <v>501</v>
      </c>
      <c r="F783" s="438" t="s">
        <v>503</v>
      </c>
      <c r="G783" s="439">
        <v>12720000</v>
      </c>
    </row>
    <row r="784" spans="1:7" ht="15">
      <c r="A784" s="519"/>
      <c r="B784" s="520"/>
      <c r="C784" s="520"/>
      <c r="D784" s="520"/>
      <c r="E784" s="520" t="s">
        <v>543</v>
      </c>
      <c r="F784" s="438" t="s">
        <v>617</v>
      </c>
      <c r="G784" s="439">
        <v>21100000</v>
      </c>
    </row>
    <row r="785" spans="1:7" ht="15">
      <c r="A785" s="519"/>
      <c r="B785" s="520"/>
      <c r="C785" s="520"/>
      <c r="D785" s="520"/>
      <c r="E785" s="520"/>
      <c r="F785" s="438" t="s">
        <v>544</v>
      </c>
      <c r="G785" s="439">
        <v>5498000</v>
      </c>
    </row>
    <row r="786" spans="1:7" ht="15">
      <c r="A786" s="519" t="s">
        <v>685</v>
      </c>
      <c r="B786" s="520" t="s">
        <v>513</v>
      </c>
      <c r="C786" s="520" t="s">
        <v>497</v>
      </c>
      <c r="D786" s="520" t="s">
        <v>644</v>
      </c>
      <c r="E786" s="438" t="s">
        <v>516</v>
      </c>
      <c r="F786" s="438" t="s">
        <v>517</v>
      </c>
      <c r="G786" s="439">
        <v>1627120000</v>
      </c>
    </row>
    <row r="787" spans="1:7" ht="15">
      <c r="A787" s="519"/>
      <c r="B787" s="520"/>
      <c r="C787" s="520"/>
      <c r="D787" s="520"/>
      <c r="E787" s="438" t="s">
        <v>523</v>
      </c>
      <c r="F787" s="438" t="s">
        <v>524</v>
      </c>
      <c r="G787" s="439">
        <v>357980000</v>
      </c>
    </row>
    <row r="788" spans="1:7" ht="15">
      <c r="A788" s="519"/>
      <c r="B788" s="438" t="s">
        <v>504</v>
      </c>
      <c r="C788" s="438" t="s">
        <v>497</v>
      </c>
      <c r="D788" s="438" t="s">
        <v>644</v>
      </c>
      <c r="E788" s="438" t="s">
        <v>516</v>
      </c>
      <c r="F788" s="438" t="s">
        <v>517</v>
      </c>
      <c r="G788" s="439">
        <v>657000000</v>
      </c>
    </row>
    <row r="789" spans="1:7" ht="15">
      <c r="A789" s="519"/>
      <c r="B789" s="520" t="s">
        <v>518</v>
      </c>
      <c r="C789" s="520" t="s">
        <v>497</v>
      </c>
      <c r="D789" s="520" t="s">
        <v>534</v>
      </c>
      <c r="E789" s="438" t="s">
        <v>516</v>
      </c>
      <c r="F789" s="438" t="s">
        <v>517</v>
      </c>
      <c r="G789" s="439">
        <v>543507000</v>
      </c>
    </row>
    <row r="790" spans="1:7" ht="15">
      <c r="A790" s="519"/>
      <c r="B790" s="520"/>
      <c r="C790" s="520"/>
      <c r="D790" s="520"/>
      <c r="E790" s="520" t="s">
        <v>523</v>
      </c>
      <c r="F790" s="438" t="s">
        <v>524</v>
      </c>
      <c r="G790" s="439">
        <v>504194000</v>
      </c>
    </row>
    <row r="791" spans="1:7" ht="15">
      <c r="A791" s="519"/>
      <c r="B791" s="520"/>
      <c r="C791" s="520"/>
      <c r="D791" s="520"/>
      <c r="E791" s="520"/>
      <c r="F791" s="438" t="s">
        <v>525</v>
      </c>
      <c r="G791" s="439">
        <v>6861000</v>
      </c>
    </row>
    <row r="792" spans="1:7" ht="15">
      <c r="A792" s="519"/>
      <c r="B792" s="520"/>
      <c r="C792" s="520"/>
      <c r="D792" s="520" t="s">
        <v>644</v>
      </c>
      <c r="E792" s="438" t="s">
        <v>516</v>
      </c>
      <c r="F792" s="438" t="s">
        <v>517</v>
      </c>
      <c r="G792" s="439">
        <v>1038446999.9999999</v>
      </c>
    </row>
    <row r="793" spans="1:7" ht="15">
      <c r="A793" s="519"/>
      <c r="B793" s="520"/>
      <c r="C793" s="520"/>
      <c r="D793" s="520"/>
      <c r="E793" s="520" t="s">
        <v>523</v>
      </c>
      <c r="F793" s="438" t="s">
        <v>527</v>
      </c>
      <c r="G793" s="439">
        <v>6700000</v>
      </c>
    </row>
    <row r="794" spans="1:7" ht="15">
      <c r="A794" s="519"/>
      <c r="B794" s="520"/>
      <c r="C794" s="520"/>
      <c r="D794" s="520"/>
      <c r="E794" s="520"/>
      <c r="F794" s="438" t="s">
        <v>524</v>
      </c>
      <c r="G794" s="439">
        <v>879593000</v>
      </c>
    </row>
    <row r="795" spans="1:7" ht="15">
      <c r="A795" s="519"/>
      <c r="B795" s="520"/>
      <c r="C795" s="520"/>
      <c r="D795" s="520"/>
      <c r="E795" s="520"/>
      <c r="F795" s="438" t="s">
        <v>525</v>
      </c>
      <c r="G795" s="439">
        <v>5724000</v>
      </c>
    </row>
    <row r="796" spans="1:7" ht="15">
      <c r="A796" s="519"/>
      <c r="B796" s="520" t="s">
        <v>508</v>
      </c>
      <c r="C796" s="520" t="s">
        <v>497</v>
      </c>
      <c r="D796" s="520" t="s">
        <v>498</v>
      </c>
      <c r="E796" s="438" t="s">
        <v>553</v>
      </c>
      <c r="F796" s="438" t="s">
        <v>628</v>
      </c>
      <c r="G796" s="439">
        <v>59000000</v>
      </c>
    </row>
    <row r="797" spans="1:7" ht="15">
      <c r="A797" s="519"/>
      <c r="B797" s="520"/>
      <c r="C797" s="520"/>
      <c r="D797" s="520"/>
      <c r="E797" s="438" t="s">
        <v>501</v>
      </c>
      <c r="F797" s="438" t="s">
        <v>502</v>
      </c>
      <c r="G797" s="439">
        <v>561000000</v>
      </c>
    </row>
    <row r="798" spans="1:7" ht="15">
      <c r="A798" s="519"/>
      <c r="B798" s="520"/>
      <c r="C798" s="520"/>
      <c r="D798" s="520"/>
      <c r="E798" s="438" t="s">
        <v>505</v>
      </c>
      <c r="F798" s="438" t="s">
        <v>506</v>
      </c>
      <c r="G798" s="439">
        <v>1813000000</v>
      </c>
    </row>
    <row r="799" spans="1:7" ht="15">
      <c r="A799" s="519"/>
      <c r="B799" s="520"/>
      <c r="C799" s="520"/>
      <c r="D799" s="520"/>
      <c r="E799" s="438" t="s">
        <v>543</v>
      </c>
      <c r="F799" s="438" t="s">
        <v>544</v>
      </c>
      <c r="G799" s="439">
        <v>289000000</v>
      </c>
    </row>
    <row r="800" spans="1:7" ht="15">
      <c r="A800" s="519"/>
      <c r="B800" s="520"/>
      <c r="C800" s="520"/>
      <c r="D800" s="520" t="s">
        <v>531</v>
      </c>
      <c r="E800" s="438" t="s">
        <v>501</v>
      </c>
      <c r="F800" s="438" t="s">
        <v>502</v>
      </c>
      <c r="G800" s="439">
        <v>684000000</v>
      </c>
    </row>
    <row r="801" spans="1:7" ht="15">
      <c r="A801" s="519"/>
      <c r="B801" s="520"/>
      <c r="C801" s="520"/>
      <c r="D801" s="520"/>
      <c r="E801" s="438" t="s">
        <v>505</v>
      </c>
      <c r="F801" s="438" t="s">
        <v>506</v>
      </c>
      <c r="G801" s="439">
        <v>159000000</v>
      </c>
    </row>
    <row r="802" spans="1:7" ht="15">
      <c r="A802" s="519"/>
      <c r="B802" s="520"/>
      <c r="C802" s="520"/>
      <c r="D802" s="520"/>
      <c r="E802" s="438" t="s">
        <v>543</v>
      </c>
      <c r="F802" s="438" t="s">
        <v>544</v>
      </c>
      <c r="G802" s="439">
        <v>60000000</v>
      </c>
    </row>
    <row r="803" spans="1:7" ht="15">
      <c r="A803" s="519"/>
      <c r="B803" s="520"/>
      <c r="C803" s="520"/>
      <c r="D803" s="520" t="s">
        <v>644</v>
      </c>
      <c r="E803" s="438" t="s">
        <v>553</v>
      </c>
      <c r="F803" s="438" t="s">
        <v>628</v>
      </c>
      <c r="G803" s="439">
        <v>6000000</v>
      </c>
    </row>
    <row r="804" spans="1:7" ht="15">
      <c r="A804" s="519"/>
      <c r="B804" s="520"/>
      <c r="C804" s="520"/>
      <c r="D804" s="520"/>
      <c r="E804" s="438" t="s">
        <v>501</v>
      </c>
      <c r="F804" s="438" t="s">
        <v>502</v>
      </c>
      <c r="G804" s="439">
        <v>6000000</v>
      </c>
    </row>
    <row r="805" spans="1:7" ht="15">
      <c r="A805" s="519"/>
      <c r="B805" s="520"/>
      <c r="C805" s="520"/>
      <c r="D805" s="520"/>
      <c r="E805" s="438" t="s">
        <v>543</v>
      </c>
      <c r="F805" s="438" t="s">
        <v>544</v>
      </c>
      <c r="G805" s="439">
        <v>58846000</v>
      </c>
    </row>
    <row r="806" spans="1:7" ht="15">
      <c r="A806" s="519"/>
      <c r="B806" s="520"/>
      <c r="C806" s="520"/>
      <c r="D806" s="520" t="s">
        <v>588</v>
      </c>
      <c r="E806" s="520" t="s">
        <v>505</v>
      </c>
      <c r="F806" s="438" t="s">
        <v>686</v>
      </c>
      <c r="G806" s="439">
        <v>6000000</v>
      </c>
    </row>
    <row r="807" spans="1:7" ht="15">
      <c r="A807" s="519"/>
      <c r="B807" s="520"/>
      <c r="C807" s="520"/>
      <c r="D807" s="520"/>
      <c r="E807" s="520"/>
      <c r="F807" s="438" t="s">
        <v>506</v>
      </c>
      <c r="G807" s="439">
        <v>12000000</v>
      </c>
    </row>
    <row r="808" spans="1:7" ht="15">
      <c r="A808" s="519"/>
      <c r="B808" s="520"/>
      <c r="C808" s="520"/>
      <c r="D808" s="520"/>
      <c r="E808" s="438" t="s">
        <v>543</v>
      </c>
      <c r="F808" s="438" t="s">
        <v>544</v>
      </c>
      <c r="G808" s="439">
        <v>6000000</v>
      </c>
    </row>
    <row r="809" spans="1:7" ht="15">
      <c r="A809" s="519"/>
      <c r="B809" s="520"/>
      <c r="C809" s="520"/>
      <c r="D809" s="520"/>
      <c r="E809" s="438" t="s">
        <v>516</v>
      </c>
      <c r="F809" s="438" t="s">
        <v>517</v>
      </c>
      <c r="G809" s="439">
        <v>80000000</v>
      </c>
    </row>
    <row r="810" spans="1:7" ht="15">
      <c r="A810" s="519"/>
      <c r="B810" s="520"/>
      <c r="C810" s="520"/>
      <c r="D810" s="520"/>
      <c r="E810" s="438" t="s">
        <v>523</v>
      </c>
      <c r="F810" s="438" t="s">
        <v>525</v>
      </c>
      <c r="G810" s="439">
        <v>640000000</v>
      </c>
    </row>
    <row r="811" spans="1:7" ht="15">
      <c r="A811" s="519"/>
      <c r="B811" s="520"/>
      <c r="C811" s="520" t="s">
        <v>580</v>
      </c>
      <c r="D811" s="520" t="s">
        <v>581</v>
      </c>
      <c r="E811" s="438" t="s">
        <v>687</v>
      </c>
      <c r="F811" s="438" t="s">
        <v>688</v>
      </c>
      <c r="G811" s="439">
        <v>137000000</v>
      </c>
    </row>
    <row r="812" spans="1:7" ht="15">
      <c r="A812" s="519"/>
      <c r="B812" s="520"/>
      <c r="C812" s="520"/>
      <c r="D812" s="520"/>
      <c r="E812" s="438" t="s">
        <v>586</v>
      </c>
      <c r="F812" s="438" t="s">
        <v>621</v>
      </c>
      <c r="G812" s="439">
        <v>134000000</v>
      </c>
    </row>
    <row r="813" spans="1:7" ht="15">
      <c r="A813" s="519"/>
      <c r="B813" s="520"/>
      <c r="C813" s="520"/>
      <c r="D813" s="520"/>
      <c r="E813" s="438" t="s">
        <v>516</v>
      </c>
      <c r="F813" s="438" t="s">
        <v>517</v>
      </c>
      <c r="G813" s="439">
        <v>5600000000</v>
      </c>
    </row>
    <row r="814" spans="1:7" ht="15">
      <c r="A814" s="519" t="s">
        <v>689</v>
      </c>
      <c r="B814" s="520" t="s">
        <v>513</v>
      </c>
      <c r="C814" s="520" t="s">
        <v>497</v>
      </c>
      <c r="D814" s="520" t="s">
        <v>532</v>
      </c>
      <c r="E814" s="438" t="s">
        <v>516</v>
      </c>
      <c r="F814" s="438" t="s">
        <v>517</v>
      </c>
      <c r="G814" s="439">
        <v>4171745000</v>
      </c>
    </row>
    <row r="815" spans="1:7" ht="15">
      <c r="A815" s="519"/>
      <c r="B815" s="520"/>
      <c r="C815" s="520"/>
      <c r="D815" s="520"/>
      <c r="E815" s="520" t="s">
        <v>523</v>
      </c>
      <c r="F815" s="438" t="s">
        <v>527</v>
      </c>
      <c r="G815" s="439">
        <v>89415000</v>
      </c>
    </row>
    <row r="816" spans="1:7" ht="15">
      <c r="A816" s="519"/>
      <c r="B816" s="520"/>
      <c r="C816" s="520"/>
      <c r="D816" s="520"/>
      <c r="E816" s="520"/>
      <c r="F816" s="438" t="s">
        <v>524</v>
      </c>
      <c r="G816" s="439">
        <v>499605000</v>
      </c>
    </row>
    <row r="817" spans="1:7" ht="15">
      <c r="A817" s="519"/>
      <c r="B817" s="520"/>
      <c r="C817" s="520"/>
      <c r="D817" s="520"/>
      <c r="E817" s="520"/>
      <c r="F817" s="438" t="s">
        <v>525</v>
      </c>
      <c r="G817" s="439">
        <v>18235000</v>
      </c>
    </row>
    <row r="818" spans="1:7" ht="15">
      <c r="A818" s="519"/>
      <c r="B818" s="520" t="s">
        <v>518</v>
      </c>
      <c r="C818" s="520" t="s">
        <v>497</v>
      </c>
      <c r="D818" s="520" t="s">
        <v>534</v>
      </c>
      <c r="E818" s="520" t="s">
        <v>523</v>
      </c>
      <c r="F818" s="438" t="s">
        <v>527</v>
      </c>
      <c r="G818" s="439">
        <v>250000000</v>
      </c>
    </row>
    <row r="819" spans="1:7" ht="15">
      <c r="A819" s="519"/>
      <c r="B819" s="520"/>
      <c r="C819" s="520"/>
      <c r="D819" s="520"/>
      <c r="E819" s="520"/>
      <c r="F819" s="438" t="s">
        <v>524</v>
      </c>
      <c r="G819" s="439">
        <v>1045567000</v>
      </c>
    </row>
    <row r="820" spans="1:7" ht="15">
      <c r="A820" s="519" t="s">
        <v>690</v>
      </c>
      <c r="B820" s="520" t="s">
        <v>599</v>
      </c>
      <c r="C820" s="520" t="s">
        <v>497</v>
      </c>
      <c r="D820" s="520" t="s">
        <v>648</v>
      </c>
      <c r="E820" s="438" t="s">
        <v>539</v>
      </c>
      <c r="F820" s="438" t="s">
        <v>615</v>
      </c>
      <c r="G820" s="439">
        <v>17097000</v>
      </c>
    </row>
    <row r="821" spans="1:7" ht="15">
      <c r="A821" s="519"/>
      <c r="B821" s="520"/>
      <c r="C821" s="520"/>
      <c r="D821" s="520"/>
      <c r="E821" s="520" t="s">
        <v>570</v>
      </c>
      <c r="F821" s="438" t="s">
        <v>691</v>
      </c>
      <c r="G821" s="439">
        <v>1004000</v>
      </c>
    </row>
    <row r="822" spans="1:7" ht="15">
      <c r="A822" s="519"/>
      <c r="B822" s="520"/>
      <c r="C822" s="520"/>
      <c r="D822" s="520"/>
      <c r="E822" s="520"/>
      <c r="F822" s="438" t="s">
        <v>600</v>
      </c>
      <c r="G822" s="439">
        <v>9820000</v>
      </c>
    </row>
    <row r="823" spans="1:7" ht="15">
      <c r="A823" s="519"/>
      <c r="B823" s="520"/>
      <c r="C823" s="520"/>
      <c r="D823" s="520"/>
      <c r="E823" s="438" t="s">
        <v>499</v>
      </c>
      <c r="F823" s="438" t="s">
        <v>500</v>
      </c>
      <c r="G823" s="439">
        <v>2247000</v>
      </c>
    </row>
    <row r="824" spans="1:7" ht="15">
      <c r="A824" s="519"/>
      <c r="B824" s="520"/>
      <c r="C824" s="520"/>
      <c r="D824" s="520"/>
      <c r="E824" s="520" t="s">
        <v>559</v>
      </c>
      <c r="F824" s="438" t="s">
        <v>692</v>
      </c>
      <c r="G824" s="439">
        <v>125000</v>
      </c>
    </row>
    <row r="825" spans="1:7" ht="15">
      <c r="A825" s="519"/>
      <c r="B825" s="520"/>
      <c r="C825" s="520"/>
      <c r="D825" s="520"/>
      <c r="E825" s="520"/>
      <c r="F825" s="438" t="s">
        <v>693</v>
      </c>
      <c r="G825" s="439">
        <v>319000</v>
      </c>
    </row>
    <row r="826" spans="1:7" ht="15">
      <c r="A826" s="519"/>
      <c r="B826" s="520"/>
      <c r="C826" s="520"/>
      <c r="D826" s="520"/>
      <c r="E826" s="438" t="s">
        <v>561</v>
      </c>
      <c r="F826" s="438" t="s">
        <v>563</v>
      </c>
      <c r="G826" s="439">
        <v>7050000</v>
      </c>
    </row>
    <row r="827" spans="1:7" ht="15">
      <c r="A827" s="519"/>
      <c r="B827" s="520"/>
      <c r="C827" s="520"/>
      <c r="D827" s="520"/>
      <c r="E827" s="438" t="s">
        <v>501</v>
      </c>
      <c r="F827" s="438" t="s">
        <v>503</v>
      </c>
      <c r="G827" s="439">
        <v>173232000</v>
      </c>
    </row>
    <row r="828" spans="1:7" ht="15">
      <c r="A828" s="519"/>
      <c r="B828" s="520" t="s">
        <v>496</v>
      </c>
      <c r="C828" s="520" t="s">
        <v>497</v>
      </c>
      <c r="D828" s="520" t="s">
        <v>648</v>
      </c>
      <c r="E828" s="438" t="s">
        <v>539</v>
      </c>
      <c r="F828" s="438" t="s">
        <v>540</v>
      </c>
      <c r="G828" s="439">
        <v>1818000</v>
      </c>
    </row>
    <row r="829" spans="1:7" ht="15">
      <c r="A829" s="519"/>
      <c r="B829" s="520"/>
      <c r="C829" s="520"/>
      <c r="D829" s="520"/>
      <c r="E829" s="438" t="s">
        <v>499</v>
      </c>
      <c r="F829" s="438" t="s">
        <v>500</v>
      </c>
      <c r="G829" s="439">
        <v>11725000</v>
      </c>
    </row>
    <row r="830" spans="1:7" ht="15">
      <c r="A830" s="519"/>
      <c r="B830" s="520"/>
      <c r="C830" s="520"/>
      <c r="D830" s="520"/>
      <c r="E830" s="520" t="s">
        <v>561</v>
      </c>
      <c r="F830" s="438" t="s">
        <v>562</v>
      </c>
      <c r="G830" s="439">
        <v>1800000</v>
      </c>
    </row>
    <row r="831" spans="1:7" ht="15">
      <c r="A831" s="519"/>
      <c r="B831" s="520"/>
      <c r="C831" s="520"/>
      <c r="D831" s="520"/>
      <c r="E831" s="520"/>
      <c r="F831" s="438" t="s">
        <v>563</v>
      </c>
      <c r="G831" s="439">
        <v>8664000</v>
      </c>
    </row>
    <row r="832" spans="1:7" ht="15">
      <c r="A832" s="519"/>
      <c r="B832" s="520"/>
      <c r="C832" s="520"/>
      <c r="D832" s="520"/>
      <c r="E832" s="438" t="s">
        <v>565</v>
      </c>
      <c r="F832" s="438" t="s">
        <v>566</v>
      </c>
      <c r="G832" s="439">
        <v>40000000</v>
      </c>
    </row>
    <row r="833" spans="1:7" ht="15">
      <c r="A833" s="519"/>
      <c r="B833" s="520"/>
      <c r="C833" s="520"/>
      <c r="D833" s="520"/>
      <c r="E833" s="520" t="s">
        <v>501</v>
      </c>
      <c r="F833" s="438" t="s">
        <v>502</v>
      </c>
      <c r="G833" s="439">
        <v>3210000</v>
      </c>
    </row>
    <row r="834" spans="1:7" ht="15">
      <c r="A834" s="519"/>
      <c r="B834" s="520"/>
      <c r="C834" s="520"/>
      <c r="D834" s="520"/>
      <c r="E834" s="520"/>
      <c r="F834" s="438" t="s">
        <v>503</v>
      </c>
      <c r="G834" s="439">
        <v>3090012500</v>
      </c>
    </row>
    <row r="835" spans="1:7" ht="15">
      <c r="A835" s="519"/>
      <c r="B835" s="438" t="s">
        <v>518</v>
      </c>
      <c r="C835" s="438" t="s">
        <v>497</v>
      </c>
      <c r="D835" s="438" t="s">
        <v>648</v>
      </c>
      <c r="E835" s="438" t="s">
        <v>501</v>
      </c>
      <c r="F835" s="438" t="s">
        <v>503</v>
      </c>
      <c r="G835" s="439">
        <v>434910000</v>
      </c>
    </row>
    <row r="836" spans="1:7" ht="15">
      <c r="A836" s="519"/>
      <c r="B836" s="520" t="s">
        <v>508</v>
      </c>
      <c r="C836" s="520" t="s">
        <v>497</v>
      </c>
      <c r="D836" s="520" t="s">
        <v>498</v>
      </c>
      <c r="E836" s="438" t="s">
        <v>501</v>
      </c>
      <c r="F836" s="438" t="s">
        <v>502</v>
      </c>
      <c r="G836" s="439">
        <v>3240000</v>
      </c>
    </row>
    <row r="837" spans="1:7" ht="15">
      <c r="A837" s="519"/>
      <c r="B837" s="520"/>
      <c r="C837" s="520"/>
      <c r="D837" s="520"/>
      <c r="E837" s="438" t="s">
        <v>505</v>
      </c>
      <c r="F837" s="438" t="s">
        <v>506</v>
      </c>
      <c r="G837" s="439">
        <v>120000000</v>
      </c>
    </row>
    <row r="838" spans="1:7" ht="15">
      <c r="A838" s="519"/>
      <c r="B838" s="520"/>
      <c r="C838" s="520"/>
      <c r="D838" s="520"/>
      <c r="E838" s="438" t="s">
        <v>543</v>
      </c>
      <c r="F838" s="438" t="s">
        <v>601</v>
      </c>
      <c r="G838" s="439">
        <v>2200000</v>
      </c>
    </row>
    <row r="839" spans="1:7" ht="15">
      <c r="A839" s="519"/>
      <c r="B839" s="520"/>
      <c r="C839" s="520"/>
      <c r="D839" s="520" t="s">
        <v>648</v>
      </c>
      <c r="E839" s="438" t="s">
        <v>501</v>
      </c>
      <c r="F839" s="438" t="s">
        <v>503</v>
      </c>
      <c r="G839" s="439">
        <v>108365000</v>
      </c>
    </row>
    <row r="840" spans="1:7" ht="15">
      <c r="A840" s="519"/>
      <c r="B840" s="520"/>
      <c r="C840" s="520"/>
      <c r="D840" s="520"/>
      <c r="E840" s="438" t="s">
        <v>543</v>
      </c>
      <c r="F840" s="438" t="s">
        <v>544</v>
      </c>
      <c r="G840" s="439">
        <v>96895000</v>
      </c>
    </row>
    <row r="841" spans="1:7" ht="15">
      <c r="A841" s="519" t="s">
        <v>807</v>
      </c>
      <c r="B841" s="438" t="s">
        <v>557</v>
      </c>
      <c r="C841" s="438" t="s">
        <v>519</v>
      </c>
      <c r="D841" s="438" t="s">
        <v>528</v>
      </c>
      <c r="E841" s="438" t="s">
        <v>523</v>
      </c>
      <c r="F841" s="438" t="s">
        <v>524</v>
      </c>
      <c r="G841" s="439">
        <v>202778000</v>
      </c>
    </row>
    <row r="842" spans="1:7" ht="15">
      <c r="A842" s="519"/>
      <c r="B842" s="520" t="s">
        <v>513</v>
      </c>
      <c r="C842" s="520" t="s">
        <v>519</v>
      </c>
      <c r="D842" s="520" t="s">
        <v>520</v>
      </c>
      <c r="E842" s="438" t="s">
        <v>516</v>
      </c>
      <c r="F842" s="438" t="s">
        <v>517</v>
      </c>
      <c r="G842" s="439">
        <v>608000000</v>
      </c>
    </row>
    <row r="843" spans="1:7" ht="15">
      <c r="A843" s="519"/>
      <c r="B843" s="520"/>
      <c r="C843" s="520"/>
      <c r="D843" s="520"/>
      <c r="E843" s="520" t="s">
        <v>523</v>
      </c>
      <c r="F843" s="438" t="s">
        <v>524</v>
      </c>
      <c r="G843" s="439">
        <v>334644000</v>
      </c>
    </row>
    <row r="844" spans="1:7" ht="15">
      <c r="A844" s="519"/>
      <c r="B844" s="520"/>
      <c r="C844" s="520"/>
      <c r="D844" s="520"/>
      <c r="E844" s="520"/>
      <c r="F844" s="438" t="s">
        <v>525</v>
      </c>
      <c r="G844" s="439">
        <v>10223000</v>
      </c>
    </row>
    <row r="845" spans="1:7" ht="15">
      <c r="A845" s="519"/>
      <c r="B845" s="520"/>
      <c r="C845" s="520"/>
      <c r="D845" s="520" t="s">
        <v>526</v>
      </c>
      <c r="E845" s="438" t="s">
        <v>516</v>
      </c>
      <c r="F845" s="438" t="s">
        <v>517</v>
      </c>
      <c r="G845" s="439">
        <v>1699193000</v>
      </c>
    </row>
    <row r="846" spans="1:7" ht="15">
      <c r="A846" s="519"/>
      <c r="B846" s="520"/>
      <c r="C846" s="520"/>
      <c r="D846" s="520"/>
      <c r="E846" s="438" t="s">
        <v>523</v>
      </c>
      <c r="F846" s="438" t="s">
        <v>524</v>
      </c>
      <c r="G846" s="439">
        <v>190807000</v>
      </c>
    </row>
    <row r="847" spans="1:7" ht="15">
      <c r="A847" s="519"/>
      <c r="B847" s="520"/>
      <c r="C847" s="520"/>
      <c r="D847" s="520" t="s">
        <v>528</v>
      </c>
      <c r="E847" s="438" t="s">
        <v>516</v>
      </c>
      <c r="F847" s="438" t="s">
        <v>517</v>
      </c>
      <c r="G847" s="439">
        <v>4635043000</v>
      </c>
    </row>
    <row r="848" spans="1:7" ht="15">
      <c r="A848" s="519"/>
      <c r="B848" s="520"/>
      <c r="C848" s="520"/>
      <c r="D848" s="520"/>
      <c r="E848" s="520" t="s">
        <v>523</v>
      </c>
      <c r="F848" s="438" t="s">
        <v>524</v>
      </c>
      <c r="G848" s="439">
        <v>933375000</v>
      </c>
    </row>
    <row r="849" spans="1:7" ht="15">
      <c r="A849" s="519"/>
      <c r="B849" s="520"/>
      <c r="C849" s="520"/>
      <c r="D849" s="520"/>
      <c r="E849" s="520"/>
      <c r="F849" s="438" t="s">
        <v>525</v>
      </c>
      <c r="G849" s="439">
        <v>13088000</v>
      </c>
    </row>
    <row r="850" spans="1:7" ht="15">
      <c r="A850" s="519"/>
      <c r="B850" s="520"/>
      <c r="C850" s="520" t="s">
        <v>550</v>
      </c>
      <c r="D850" s="520" t="s">
        <v>551</v>
      </c>
      <c r="E850" s="438" t="s">
        <v>516</v>
      </c>
      <c r="F850" s="438" t="s">
        <v>517</v>
      </c>
      <c r="G850" s="439">
        <v>561997000</v>
      </c>
    </row>
    <row r="851" spans="1:7" ht="15">
      <c r="A851" s="519"/>
      <c r="B851" s="520"/>
      <c r="C851" s="520"/>
      <c r="D851" s="520"/>
      <c r="E851" s="438" t="s">
        <v>523</v>
      </c>
      <c r="F851" s="438" t="s">
        <v>524</v>
      </c>
      <c r="G851" s="439">
        <v>10003000</v>
      </c>
    </row>
    <row r="852" spans="1:7" ht="15">
      <c r="A852" s="519"/>
      <c r="B852" s="520"/>
      <c r="C852" s="520" t="s">
        <v>497</v>
      </c>
      <c r="D852" s="520" t="s">
        <v>531</v>
      </c>
      <c r="E852" s="438" t="s">
        <v>516</v>
      </c>
      <c r="F852" s="438" t="s">
        <v>517</v>
      </c>
      <c r="G852" s="439">
        <v>1733513000</v>
      </c>
    </row>
    <row r="853" spans="1:7" ht="15">
      <c r="A853" s="519"/>
      <c r="B853" s="520"/>
      <c r="C853" s="520"/>
      <c r="D853" s="520"/>
      <c r="E853" s="438" t="s">
        <v>523</v>
      </c>
      <c r="F853" s="438" t="s">
        <v>524</v>
      </c>
      <c r="G853" s="439">
        <v>114687000</v>
      </c>
    </row>
    <row r="854" spans="1:7" ht="15">
      <c r="A854" s="519"/>
      <c r="B854" s="520"/>
      <c r="C854" s="520"/>
      <c r="D854" s="520" t="s">
        <v>532</v>
      </c>
      <c r="E854" s="438" t="s">
        <v>516</v>
      </c>
      <c r="F854" s="438" t="s">
        <v>517</v>
      </c>
      <c r="G854" s="439">
        <v>26228452604</v>
      </c>
    </row>
    <row r="855" spans="1:7" ht="15">
      <c r="A855" s="519"/>
      <c r="B855" s="520"/>
      <c r="C855" s="520"/>
      <c r="D855" s="520"/>
      <c r="E855" s="520" t="s">
        <v>523</v>
      </c>
      <c r="F855" s="438" t="s">
        <v>527</v>
      </c>
      <c r="G855" s="439">
        <v>163812000</v>
      </c>
    </row>
    <row r="856" spans="1:7" ht="15">
      <c r="A856" s="519"/>
      <c r="B856" s="520"/>
      <c r="C856" s="520"/>
      <c r="D856" s="520"/>
      <c r="E856" s="520"/>
      <c r="F856" s="438" t="s">
        <v>524</v>
      </c>
      <c r="G856" s="439">
        <v>2014532000</v>
      </c>
    </row>
    <row r="857" spans="1:7" ht="15">
      <c r="A857" s="519"/>
      <c r="B857" s="520" t="s">
        <v>552</v>
      </c>
      <c r="C857" s="520" t="s">
        <v>497</v>
      </c>
      <c r="D857" s="438" t="s">
        <v>532</v>
      </c>
      <c r="E857" s="438" t="s">
        <v>553</v>
      </c>
      <c r="F857" s="438" t="s">
        <v>554</v>
      </c>
      <c r="G857" s="439">
        <v>2353984000</v>
      </c>
    </row>
    <row r="858" spans="1:7" ht="15">
      <c r="A858" s="519"/>
      <c r="B858" s="520"/>
      <c r="C858" s="520"/>
      <c r="D858" s="438" t="s">
        <v>534</v>
      </c>
      <c r="E858" s="438" t="s">
        <v>516</v>
      </c>
      <c r="F858" s="438" t="s">
        <v>517</v>
      </c>
      <c r="G858" s="439">
        <v>278000000</v>
      </c>
    </row>
    <row r="859" spans="1:7" ht="15">
      <c r="A859" s="519"/>
      <c r="B859" s="520"/>
      <c r="C859" s="520" t="s">
        <v>514</v>
      </c>
      <c r="D859" s="520" t="s">
        <v>515</v>
      </c>
      <c r="E859" s="438" t="s">
        <v>516</v>
      </c>
      <c r="F859" s="438" t="s">
        <v>517</v>
      </c>
      <c r="G859" s="439">
        <v>340801000</v>
      </c>
    </row>
    <row r="860" spans="1:7" ht="15">
      <c r="A860" s="519"/>
      <c r="B860" s="520"/>
      <c r="C860" s="520"/>
      <c r="D860" s="520"/>
      <c r="E860" s="520" t="s">
        <v>523</v>
      </c>
      <c r="F860" s="438" t="s">
        <v>527</v>
      </c>
      <c r="G860" s="439">
        <v>9072000</v>
      </c>
    </row>
    <row r="861" spans="1:7" ht="15">
      <c r="A861" s="519"/>
      <c r="B861" s="520"/>
      <c r="C861" s="520"/>
      <c r="D861" s="520"/>
      <c r="E861" s="520"/>
      <c r="F861" s="438" t="s">
        <v>524</v>
      </c>
      <c r="G861" s="439">
        <v>22590000</v>
      </c>
    </row>
    <row r="862" spans="1:7" ht="15">
      <c r="A862" s="519"/>
      <c r="B862" s="520"/>
      <c r="C862" s="520"/>
      <c r="D862" s="520"/>
      <c r="E862" s="520"/>
      <c r="F862" s="438" t="s">
        <v>525</v>
      </c>
      <c r="G862" s="439">
        <v>2280000</v>
      </c>
    </row>
    <row r="863" spans="1:7" ht="15">
      <c r="A863" s="519"/>
      <c r="B863" s="520" t="s">
        <v>518</v>
      </c>
      <c r="C863" s="520" t="s">
        <v>519</v>
      </c>
      <c r="D863" s="520" t="s">
        <v>520</v>
      </c>
      <c r="E863" s="438" t="s">
        <v>516</v>
      </c>
      <c r="F863" s="438" t="s">
        <v>517</v>
      </c>
      <c r="G863" s="439">
        <v>4553771000</v>
      </c>
    </row>
    <row r="864" spans="1:7" ht="15">
      <c r="A864" s="519"/>
      <c r="B864" s="520"/>
      <c r="C864" s="520"/>
      <c r="D864" s="520"/>
      <c r="E864" s="520" t="s">
        <v>523</v>
      </c>
      <c r="F864" s="438" t="s">
        <v>527</v>
      </c>
      <c r="G864" s="439">
        <v>200000000</v>
      </c>
    </row>
    <row r="865" spans="1:7" ht="15">
      <c r="A865" s="519"/>
      <c r="B865" s="520"/>
      <c r="C865" s="520"/>
      <c r="D865" s="520"/>
      <c r="E865" s="520"/>
      <c r="F865" s="438" t="s">
        <v>524</v>
      </c>
      <c r="G865" s="439">
        <v>137314000</v>
      </c>
    </row>
    <row r="866" spans="1:7" ht="15">
      <c r="A866" s="519"/>
      <c r="B866" s="520"/>
      <c r="C866" s="520"/>
      <c r="D866" s="520" t="s">
        <v>526</v>
      </c>
      <c r="E866" s="438" t="s">
        <v>516</v>
      </c>
      <c r="F866" s="438" t="s">
        <v>517</v>
      </c>
      <c r="G866" s="439">
        <v>17607932000</v>
      </c>
    </row>
    <row r="867" spans="1:7" ht="15">
      <c r="A867" s="519"/>
      <c r="B867" s="520"/>
      <c r="C867" s="520"/>
      <c r="D867" s="520"/>
      <c r="E867" s="520" t="s">
        <v>523</v>
      </c>
      <c r="F867" s="438" t="s">
        <v>527</v>
      </c>
      <c r="G867" s="439">
        <v>70000000</v>
      </c>
    </row>
    <row r="868" spans="1:7" ht="15">
      <c r="A868" s="519"/>
      <c r="B868" s="520"/>
      <c r="C868" s="520"/>
      <c r="D868" s="520"/>
      <c r="E868" s="520"/>
      <c r="F868" s="438" t="s">
        <v>524</v>
      </c>
      <c r="G868" s="439">
        <v>567495000</v>
      </c>
    </row>
    <row r="869" spans="1:7" ht="15">
      <c r="A869" s="519"/>
      <c r="B869" s="520"/>
      <c r="C869" s="520"/>
      <c r="D869" s="520" t="s">
        <v>528</v>
      </c>
      <c r="E869" s="438" t="s">
        <v>516</v>
      </c>
      <c r="F869" s="438" t="s">
        <v>517</v>
      </c>
      <c r="G869" s="439">
        <v>7504359000</v>
      </c>
    </row>
    <row r="870" spans="1:7" ht="15">
      <c r="A870" s="519"/>
      <c r="B870" s="520"/>
      <c r="C870" s="520"/>
      <c r="D870" s="520"/>
      <c r="E870" s="520" t="s">
        <v>523</v>
      </c>
      <c r="F870" s="438" t="s">
        <v>527</v>
      </c>
      <c r="G870" s="439">
        <v>135000000</v>
      </c>
    </row>
    <row r="871" spans="1:7" ht="15">
      <c r="A871" s="519"/>
      <c r="B871" s="520"/>
      <c r="C871" s="520"/>
      <c r="D871" s="520"/>
      <c r="E871" s="520"/>
      <c r="F871" s="438" t="s">
        <v>524</v>
      </c>
      <c r="G871" s="439">
        <v>475134000</v>
      </c>
    </row>
    <row r="872" spans="1:7" ht="15">
      <c r="A872" s="519"/>
      <c r="B872" s="520"/>
      <c r="C872" s="520" t="s">
        <v>550</v>
      </c>
      <c r="D872" s="520" t="s">
        <v>551</v>
      </c>
      <c r="E872" s="438" t="s">
        <v>516</v>
      </c>
      <c r="F872" s="438" t="s">
        <v>517</v>
      </c>
      <c r="G872" s="439">
        <v>1700000000</v>
      </c>
    </row>
    <row r="873" spans="1:7" ht="15">
      <c r="A873" s="519"/>
      <c r="B873" s="520"/>
      <c r="C873" s="520"/>
      <c r="D873" s="520"/>
      <c r="E873" s="520" t="s">
        <v>523</v>
      </c>
      <c r="F873" s="438" t="s">
        <v>527</v>
      </c>
      <c r="G873" s="439">
        <v>80000000</v>
      </c>
    </row>
    <row r="874" spans="1:7" ht="15">
      <c r="A874" s="519"/>
      <c r="B874" s="520"/>
      <c r="C874" s="520"/>
      <c r="D874" s="520"/>
      <c r="E874" s="520"/>
      <c r="F874" s="438" t="s">
        <v>524</v>
      </c>
      <c r="G874" s="439">
        <v>161779000</v>
      </c>
    </row>
    <row r="875" spans="1:7" ht="15" hidden="1">
      <c r="A875" s="519"/>
      <c r="B875" s="520"/>
      <c r="C875" s="520"/>
      <c r="D875" s="520" t="s">
        <v>639</v>
      </c>
      <c r="E875" s="438" t="s">
        <v>516</v>
      </c>
      <c r="F875" s="438" t="s">
        <v>517</v>
      </c>
      <c r="G875" s="439">
        <v>0</v>
      </c>
    </row>
    <row r="876" spans="1:7" ht="15">
      <c r="A876" s="519"/>
      <c r="B876" s="520"/>
      <c r="C876" s="520"/>
      <c r="D876" s="520"/>
      <c r="E876" s="438" t="s">
        <v>523</v>
      </c>
      <c r="F876" s="438" t="s">
        <v>524</v>
      </c>
      <c r="G876" s="439">
        <v>112909000</v>
      </c>
    </row>
    <row r="877" spans="1:7" ht="15">
      <c r="A877" s="519"/>
      <c r="B877" s="520"/>
      <c r="C877" s="520" t="s">
        <v>529</v>
      </c>
      <c r="D877" s="520" t="s">
        <v>530</v>
      </c>
      <c r="E877" s="438" t="s">
        <v>516</v>
      </c>
      <c r="F877" s="438" t="s">
        <v>517</v>
      </c>
      <c r="G877" s="439">
        <v>3129967000</v>
      </c>
    </row>
    <row r="878" spans="1:7" ht="15">
      <c r="A878" s="519"/>
      <c r="B878" s="520"/>
      <c r="C878" s="520"/>
      <c r="D878" s="520"/>
      <c r="E878" s="438" t="s">
        <v>523</v>
      </c>
      <c r="F878" s="438" t="s">
        <v>524</v>
      </c>
      <c r="G878" s="439">
        <v>399093000</v>
      </c>
    </row>
    <row r="879" spans="1:7" ht="15">
      <c r="A879" s="519"/>
      <c r="B879" s="520"/>
      <c r="C879" s="520" t="s">
        <v>497</v>
      </c>
      <c r="D879" s="520" t="s">
        <v>531</v>
      </c>
      <c r="E879" s="438" t="s">
        <v>516</v>
      </c>
      <c r="F879" s="438" t="s">
        <v>517</v>
      </c>
      <c r="G879" s="439">
        <v>2597487000</v>
      </c>
    </row>
    <row r="880" spans="1:7" ht="15">
      <c r="A880" s="519"/>
      <c r="B880" s="520"/>
      <c r="C880" s="520"/>
      <c r="D880" s="520"/>
      <c r="E880" s="520" t="s">
        <v>523</v>
      </c>
      <c r="F880" s="438" t="s">
        <v>527</v>
      </c>
      <c r="G880" s="439">
        <v>68106000</v>
      </c>
    </row>
    <row r="881" spans="1:7" ht="15">
      <c r="A881" s="519"/>
      <c r="B881" s="520"/>
      <c r="C881" s="520"/>
      <c r="D881" s="520"/>
      <c r="E881" s="520"/>
      <c r="F881" s="438" t="s">
        <v>524</v>
      </c>
      <c r="G881" s="439">
        <v>538789000</v>
      </c>
    </row>
    <row r="882" spans="1:7" ht="15">
      <c r="A882" s="519"/>
      <c r="B882" s="520"/>
      <c r="C882" s="520"/>
      <c r="D882" s="520" t="s">
        <v>532</v>
      </c>
      <c r="E882" s="438" t="s">
        <v>516</v>
      </c>
      <c r="F882" s="438" t="s">
        <v>517</v>
      </c>
      <c r="G882" s="439">
        <v>33032756000</v>
      </c>
    </row>
    <row r="883" spans="1:7" ht="15">
      <c r="A883" s="519"/>
      <c r="B883" s="520"/>
      <c r="C883" s="520"/>
      <c r="D883" s="520"/>
      <c r="E883" s="520" t="s">
        <v>523</v>
      </c>
      <c r="F883" s="438" t="s">
        <v>527</v>
      </c>
      <c r="G883" s="439">
        <v>755804000</v>
      </c>
    </row>
    <row r="884" spans="1:7" ht="15">
      <c r="A884" s="519"/>
      <c r="B884" s="520"/>
      <c r="C884" s="520"/>
      <c r="D884" s="520"/>
      <c r="E884" s="520"/>
      <c r="F884" s="438" t="s">
        <v>524</v>
      </c>
      <c r="G884" s="439">
        <v>8958792000</v>
      </c>
    </row>
    <row r="885" spans="1:7" ht="15">
      <c r="A885" s="519"/>
      <c r="B885" s="520"/>
      <c r="C885" s="520"/>
      <c r="D885" s="520"/>
      <c r="E885" s="520"/>
      <c r="F885" s="438" t="s">
        <v>525</v>
      </c>
      <c r="G885" s="439">
        <v>88502000</v>
      </c>
    </row>
    <row r="886" spans="1:7" ht="15">
      <c r="A886" s="519"/>
      <c r="B886" s="520"/>
      <c r="C886" s="520"/>
      <c r="D886" s="520" t="s">
        <v>533</v>
      </c>
      <c r="E886" s="520" t="s">
        <v>521</v>
      </c>
      <c r="F886" s="438" t="s">
        <v>694</v>
      </c>
      <c r="G886" s="439">
        <v>129923000</v>
      </c>
    </row>
    <row r="887" spans="1:7" ht="15">
      <c r="A887" s="519"/>
      <c r="B887" s="520"/>
      <c r="C887" s="520"/>
      <c r="D887" s="520"/>
      <c r="E887" s="520"/>
      <c r="F887" s="438" t="s">
        <v>695</v>
      </c>
      <c r="G887" s="439">
        <v>20077000</v>
      </c>
    </row>
    <row r="888" spans="1:7" ht="15">
      <c r="A888" s="519"/>
      <c r="B888" s="520"/>
      <c r="C888" s="520"/>
      <c r="D888" s="520"/>
      <c r="E888" s="438" t="s">
        <v>516</v>
      </c>
      <c r="F888" s="438" t="s">
        <v>517</v>
      </c>
      <c r="G888" s="439">
        <v>2543286000</v>
      </c>
    </row>
    <row r="889" spans="1:7" ht="15">
      <c r="A889" s="519"/>
      <c r="B889" s="520"/>
      <c r="C889" s="520"/>
      <c r="D889" s="520"/>
      <c r="E889" s="438" t="s">
        <v>523</v>
      </c>
      <c r="F889" s="438" t="s">
        <v>524</v>
      </c>
      <c r="G889" s="439">
        <v>166296000</v>
      </c>
    </row>
    <row r="890" spans="1:7" ht="15">
      <c r="A890" s="519"/>
      <c r="B890" s="520"/>
      <c r="C890" s="520"/>
      <c r="D890" s="520" t="s">
        <v>534</v>
      </c>
      <c r="E890" s="438" t="s">
        <v>553</v>
      </c>
      <c r="F890" s="438" t="s">
        <v>626</v>
      </c>
      <c r="G890" s="439">
        <v>30000000</v>
      </c>
    </row>
    <row r="891" spans="1:7" ht="15" customHeight="1" hidden="1">
      <c r="A891" s="519"/>
      <c r="B891" s="520"/>
      <c r="C891" s="520"/>
      <c r="D891" s="520"/>
      <c r="E891" s="438" t="s">
        <v>516</v>
      </c>
      <c r="F891" s="438" t="s">
        <v>517</v>
      </c>
      <c r="G891" s="439">
        <v>0</v>
      </c>
    </row>
    <row r="892" spans="1:7" ht="15">
      <c r="A892" s="519"/>
      <c r="B892" s="520"/>
      <c r="C892" s="520"/>
      <c r="D892" s="438" t="s">
        <v>588</v>
      </c>
      <c r="E892" s="438" t="s">
        <v>501</v>
      </c>
      <c r="F892" s="438" t="s">
        <v>502</v>
      </c>
      <c r="G892" s="439">
        <v>51000000</v>
      </c>
    </row>
    <row r="893" spans="1:7" ht="15">
      <c r="A893" s="519"/>
      <c r="B893" s="520" t="s">
        <v>508</v>
      </c>
      <c r="C893" s="520" t="s">
        <v>529</v>
      </c>
      <c r="D893" s="520" t="s">
        <v>530</v>
      </c>
      <c r="E893" s="438" t="s">
        <v>553</v>
      </c>
      <c r="F893" s="438" t="s">
        <v>627</v>
      </c>
      <c r="G893" s="439">
        <v>37000000</v>
      </c>
    </row>
    <row r="894" spans="1:7" ht="15">
      <c r="A894" s="519"/>
      <c r="B894" s="520"/>
      <c r="C894" s="520"/>
      <c r="D894" s="520"/>
      <c r="E894" s="438" t="s">
        <v>516</v>
      </c>
      <c r="F894" s="438" t="s">
        <v>517</v>
      </c>
      <c r="G894" s="439">
        <v>1496635000</v>
      </c>
    </row>
    <row r="895" spans="1:7" ht="15">
      <c r="A895" s="519"/>
      <c r="B895" s="520"/>
      <c r="C895" s="520"/>
      <c r="D895" s="520"/>
      <c r="E895" s="438" t="s">
        <v>640</v>
      </c>
      <c r="F895" s="438" t="s">
        <v>641</v>
      </c>
      <c r="G895" s="439">
        <v>20000000</v>
      </c>
    </row>
    <row r="896" spans="1:7" ht="15">
      <c r="A896" s="519"/>
      <c r="B896" s="520"/>
      <c r="C896" s="438" t="s">
        <v>624</v>
      </c>
      <c r="D896" s="438" t="s">
        <v>625</v>
      </c>
      <c r="E896" s="438" t="s">
        <v>553</v>
      </c>
      <c r="F896" s="438" t="s">
        <v>627</v>
      </c>
      <c r="G896" s="439">
        <v>197257000</v>
      </c>
    </row>
    <row r="897" spans="1:7" ht="15">
      <c r="A897" s="519"/>
      <c r="B897" s="520"/>
      <c r="C897" s="520" t="s">
        <v>497</v>
      </c>
      <c r="D897" s="520" t="s">
        <v>498</v>
      </c>
      <c r="E897" s="438" t="s">
        <v>501</v>
      </c>
      <c r="F897" s="438" t="s">
        <v>502</v>
      </c>
      <c r="G897" s="439">
        <v>120000000</v>
      </c>
    </row>
    <row r="898" spans="1:7" ht="15">
      <c r="A898" s="519"/>
      <c r="B898" s="520"/>
      <c r="C898" s="520"/>
      <c r="D898" s="520"/>
      <c r="E898" s="438" t="s">
        <v>543</v>
      </c>
      <c r="F898" s="438" t="s">
        <v>544</v>
      </c>
      <c r="G898" s="439">
        <v>90000000</v>
      </c>
    </row>
    <row r="899" spans="1:7" ht="15">
      <c r="A899" s="519"/>
      <c r="B899" s="520"/>
      <c r="C899" s="520"/>
      <c r="D899" s="438" t="s">
        <v>531</v>
      </c>
      <c r="E899" s="438" t="s">
        <v>553</v>
      </c>
      <c r="F899" s="438" t="s">
        <v>666</v>
      </c>
      <c r="G899" s="439">
        <v>204856000</v>
      </c>
    </row>
    <row r="900" spans="1:7" ht="15">
      <c r="A900" s="519"/>
      <c r="B900" s="520"/>
      <c r="C900" s="520"/>
      <c r="D900" s="520" t="s">
        <v>532</v>
      </c>
      <c r="E900" s="438" t="s">
        <v>553</v>
      </c>
      <c r="F900" s="438" t="s">
        <v>554</v>
      </c>
      <c r="G900" s="439">
        <v>4607833000</v>
      </c>
    </row>
    <row r="901" spans="1:7" ht="15">
      <c r="A901" s="519"/>
      <c r="B901" s="520"/>
      <c r="C901" s="520"/>
      <c r="D901" s="520"/>
      <c r="E901" s="438" t="s">
        <v>501</v>
      </c>
      <c r="F901" s="438" t="s">
        <v>503</v>
      </c>
      <c r="G901" s="439">
        <v>22834000</v>
      </c>
    </row>
    <row r="902" spans="1:7" ht="15">
      <c r="A902" s="519"/>
      <c r="B902" s="520"/>
      <c r="C902" s="520"/>
      <c r="D902" s="520"/>
      <c r="E902" s="438" t="s">
        <v>516</v>
      </c>
      <c r="F902" s="438" t="s">
        <v>517</v>
      </c>
      <c r="G902" s="439">
        <v>8207814000</v>
      </c>
    </row>
    <row r="903" spans="1:7" ht="15">
      <c r="A903" s="519"/>
      <c r="B903" s="520"/>
      <c r="C903" s="520"/>
      <c r="D903" s="520"/>
      <c r="E903" s="438" t="s">
        <v>523</v>
      </c>
      <c r="F903" s="438" t="s">
        <v>524</v>
      </c>
      <c r="G903" s="439">
        <v>9000000</v>
      </c>
    </row>
    <row r="904" spans="1:7" ht="15">
      <c r="A904" s="519"/>
      <c r="B904" s="520"/>
      <c r="C904" s="520"/>
      <c r="D904" s="438" t="s">
        <v>534</v>
      </c>
      <c r="E904" s="438" t="s">
        <v>553</v>
      </c>
      <c r="F904" s="438" t="s">
        <v>626</v>
      </c>
      <c r="G904" s="439">
        <v>98000000</v>
      </c>
    </row>
    <row r="905" spans="1:7" ht="15">
      <c r="A905" s="519"/>
      <c r="B905" s="520"/>
      <c r="C905" s="520"/>
      <c r="D905" s="438" t="s">
        <v>588</v>
      </c>
      <c r="E905" s="438" t="s">
        <v>543</v>
      </c>
      <c r="F905" s="438" t="s">
        <v>544</v>
      </c>
      <c r="G905" s="439">
        <v>200000000</v>
      </c>
    </row>
    <row r="906" spans="1:7" ht="31.5" customHeight="1">
      <c r="A906" s="521" t="s">
        <v>696</v>
      </c>
      <c r="B906" s="438" t="s">
        <v>557</v>
      </c>
      <c r="C906" s="438" t="s">
        <v>519</v>
      </c>
      <c r="D906" s="438" t="s">
        <v>573</v>
      </c>
      <c r="E906" s="438" t="s">
        <v>499</v>
      </c>
      <c r="F906" s="438" t="s">
        <v>500</v>
      </c>
      <c r="G906" s="439">
        <v>56280000</v>
      </c>
    </row>
    <row r="907" spans="1:7" ht="15">
      <c r="A907" s="522"/>
      <c r="B907" s="520" t="s">
        <v>171</v>
      </c>
      <c r="C907" s="520" t="s">
        <v>171</v>
      </c>
      <c r="D907" s="520" t="s">
        <v>573</v>
      </c>
      <c r="E907" s="438" t="s">
        <v>559</v>
      </c>
      <c r="F907" s="438" t="s">
        <v>697</v>
      </c>
      <c r="G907" s="439">
        <v>4000000</v>
      </c>
    </row>
    <row r="908" spans="1:7" ht="15">
      <c r="A908" s="522"/>
      <c r="B908" s="520"/>
      <c r="C908" s="520"/>
      <c r="D908" s="520"/>
      <c r="E908" s="520" t="s">
        <v>574</v>
      </c>
      <c r="F908" s="438" t="s">
        <v>575</v>
      </c>
      <c r="G908" s="439">
        <v>182587000</v>
      </c>
    </row>
    <row r="909" spans="1:7" ht="15">
      <c r="A909" s="522"/>
      <c r="B909" s="520"/>
      <c r="C909" s="520"/>
      <c r="D909" s="520"/>
      <c r="E909" s="520"/>
      <c r="F909" s="438" t="s">
        <v>578</v>
      </c>
      <c r="G909" s="439">
        <v>319785000</v>
      </c>
    </row>
    <row r="910" spans="1:7" ht="15">
      <c r="A910" s="522"/>
      <c r="B910" s="520"/>
      <c r="C910" s="520"/>
      <c r="D910" s="520"/>
      <c r="E910" s="520"/>
      <c r="F910" s="438" t="s">
        <v>579</v>
      </c>
      <c r="G910" s="439">
        <v>24085000</v>
      </c>
    </row>
    <row r="911" spans="1:7" ht="15">
      <c r="A911" s="522"/>
      <c r="B911" s="520"/>
      <c r="C911" s="520"/>
      <c r="D911" s="520"/>
      <c r="E911" s="438" t="s">
        <v>561</v>
      </c>
      <c r="F911" s="438" t="s">
        <v>564</v>
      </c>
      <c r="G911" s="439">
        <v>34650000</v>
      </c>
    </row>
    <row r="912" spans="1:7" ht="15">
      <c r="A912" s="522"/>
      <c r="B912" s="520"/>
      <c r="C912" s="520"/>
      <c r="D912" s="520"/>
      <c r="E912" s="438" t="s">
        <v>565</v>
      </c>
      <c r="F912" s="438" t="s">
        <v>583</v>
      </c>
      <c r="G912" s="439">
        <v>30000000</v>
      </c>
    </row>
    <row r="913" spans="1:7" ht="15">
      <c r="A913" s="522"/>
      <c r="B913" s="520"/>
      <c r="C913" s="520"/>
      <c r="D913" s="520"/>
      <c r="E913" s="438" t="s">
        <v>501</v>
      </c>
      <c r="F913" s="438" t="s">
        <v>503</v>
      </c>
      <c r="G913" s="439">
        <v>548227700</v>
      </c>
    </row>
    <row r="914" spans="1:7" ht="15">
      <c r="A914" s="522"/>
      <c r="B914" s="520"/>
      <c r="C914" s="520"/>
      <c r="D914" s="520"/>
      <c r="E914" s="520" t="s">
        <v>543</v>
      </c>
      <c r="F914" s="438" t="s">
        <v>617</v>
      </c>
      <c r="G914" s="439">
        <v>30388000</v>
      </c>
    </row>
    <row r="915" spans="1:7" ht="15">
      <c r="A915" s="522"/>
      <c r="B915" s="520"/>
      <c r="C915" s="520"/>
      <c r="D915" s="520"/>
      <c r="E915" s="520"/>
      <c r="F915" s="438" t="s">
        <v>544</v>
      </c>
      <c r="G915" s="439">
        <v>282626000</v>
      </c>
    </row>
    <row r="916" spans="1:7" ht="15">
      <c r="A916" s="522"/>
      <c r="B916" s="520"/>
      <c r="C916" s="520"/>
      <c r="D916" s="520"/>
      <c r="E916" s="438" t="s">
        <v>640</v>
      </c>
      <c r="F916" s="438" t="s">
        <v>698</v>
      </c>
      <c r="G916" s="439">
        <v>597000000</v>
      </c>
    </row>
    <row r="917" spans="1:7" ht="15">
      <c r="A917" s="522"/>
      <c r="B917" s="520" t="s">
        <v>608</v>
      </c>
      <c r="C917" s="520" t="s">
        <v>519</v>
      </c>
      <c r="D917" s="520" t="s">
        <v>699</v>
      </c>
      <c r="E917" s="520" t="s">
        <v>574</v>
      </c>
      <c r="F917" s="438" t="s">
        <v>575</v>
      </c>
      <c r="G917" s="439">
        <v>3360000</v>
      </c>
    </row>
    <row r="918" spans="1:7" ht="15">
      <c r="A918" s="522"/>
      <c r="B918" s="520"/>
      <c r="C918" s="520"/>
      <c r="D918" s="520"/>
      <c r="E918" s="520"/>
      <c r="F918" s="438" t="s">
        <v>576</v>
      </c>
      <c r="G918" s="439">
        <v>7500000</v>
      </c>
    </row>
    <row r="919" spans="1:7" ht="15">
      <c r="A919" s="522"/>
      <c r="B919" s="520"/>
      <c r="C919" s="520"/>
      <c r="D919" s="520"/>
      <c r="E919" s="520"/>
      <c r="F919" s="438" t="s">
        <v>603</v>
      </c>
      <c r="G919" s="439">
        <v>1500000</v>
      </c>
    </row>
    <row r="920" spans="1:7" ht="15">
      <c r="A920" s="522"/>
      <c r="B920" s="520"/>
      <c r="C920" s="520"/>
      <c r="D920" s="520"/>
      <c r="E920" s="520"/>
      <c r="F920" s="438" t="s">
        <v>577</v>
      </c>
      <c r="G920" s="439">
        <v>32549999.999999996</v>
      </c>
    </row>
    <row r="921" spans="1:7" ht="15">
      <c r="A921" s="522"/>
      <c r="B921" s="520"/>
      <c r="C921" s="520"/>
      <c r="D921" s="520"/>
      <c r="E921" s="520"/>
      <c r="F921" s="438" t="s">
        <v>578</v>
      </c>
      <c r="G921" s="439">
        <v>18500000</v>
      </c>
    </row>
    <row r="922" spans="1:7" ht="15">
      <c r="A922" s="522"/>
      <c r="B922" s="520"/>
      <c r="C922" s="520"/>
      <c r="D922" s="520"/>
      <c r="E922" s="520"/>
      <c r="F922" s="438" t="s">
        <v>579</v>
      </c>
      <c r="G922" s="439">
        <v>52024000</v>
      </c>
    </row>
    <row r="923" spans="1:7" ht="15">
      <c r="A923" s="522"/>
      <c r="B923" s="520" t="s">
        <v>513</v>
      </c>
      <c r="C923" s="520" t="s">
        <v>519</v>
      </c>
      <c r="D923" s="520" t="s">
        <v>526</v>
      </c>
      <c r="E923" s="438" t="s">
        <v>516</v>
      </c>
      <c r="F923" s="438" t="s">
        <v>517</v>
      </c>
      <c r="G923" s="439">
        <v>1183700000</v>
      </c>
    </row>
    <row r="924" spans="1:7" ht="15">
      <c r="A924" s="522"/>
      <c r="B924" s="520"/>
      <c r="C924" s="520"/>
      <c r="D924" s="520"/>
      <c r="E924" s="438" t="s">
        <v>523</v>
      </c>
      <c r="F924" s="438" t="s">
        <v>524</v>
      </c>
      <c r="G924" s="439">
        <v>60000000</v>
      </c>
    </row>
    <row r="925" spans="1:7" ht="15">
      <c r="A925" s="522"/>
      <c r="B925" s="520"/>
      <c r="C925" s="520"/>
      <c r="D925" s="520" t="s">
        <v>528</v>
      </c>
      <c r="E925" s="438" t="s">
        <v>516</v>
      </c>
      <c r="F925" s="438" t="s">
        <v>517</v>
      </c>
      <c r="G925" s="439">
        <v>3128877000</v>
      </c>
    </row>
    <row r="926" spans="1:7" ht="15">
      <c r="A926" s="522"/>
      <c r="B926" s="520"/>
      <c r="C926" s="520"/>
      <c r="D926" s="520"/>
      <c r="E926" s="438" t="s">
        <v>523</v>
      </c>
      <c r="F926" s="438" t="s">
        <v>524</v>
      </c>
      <c r="G926" s="439">
        <v>140923000</v>
      </c>
    </row>
    <row r="927" spans="1:7" ht="15">
      <c r="A927" s="522"/>
      <c r="B927" s="520" t="s">
        <v>584</v>
      </c>
      <c r="C927" s="520" t="s">
        <v>519</v>
      </c>
      <c r="D927" s="520" t="s">
        <v>526</v>
      </c>
      <c r="E927" s="520" t="s">
        <v>499</v>
      </c>
      <c r="F927" s="438" t="s">
        <v>633</v>
      </c>
      <c r="G927" s="439">
        <v>54100000</v>
      </c>
    </row>
    <row r="928" spans="1:7" ht="15">
      <c r="A928" s="522"/>
      <c r="B928" s="520"/>
      <c r="C928" s="520"/>
      <c r="D928" s="520"/>
      <c r="E928" s="520"/>
      <c r="F928" s="438" t="s">
        <v>541</v>
      </c>
      <c r="G928" s="439">
        <v>2400000</v>
      </c>
    </row>
    <row r="929" spans="1:7" ht="15">
      <c r="A929" s="522"/>
      <c r="B929" s="520"/>
      <c r="C929" s="520"/>
      <c r="D929" s="520"/>
      <c r="E929" s="438" t="s">
        <v>553</v>
      </c>
      <c r="F929" s="438" t="s">
        <v>568</v>
      </c>
      <c r="G929" s="439">
        <v>603000</v>
      </c>
    </row>
    <row r="930" spans="1:7" ht="15">
      <c r="A930" s="522"/>
      <c r="B930" s="520"/>
      <c r="C930" s="520"/>
      <c r="D930" s="520"/>
      <c r="E930" s="438" t="s">
        <v>634</v>
      </c>
      <c r="F930" s="438" t="s">
        <v>676</v>
      </c>
      <c r="G930" s="439">
        <v>292000000</v>
      </c>
    </row>
    <row r="931" spans="1:7" ht="15">
      <c r="A931" s="522"/>
      <c r="B931" s="520"/>
      <c r="C931" s="520"/>
      <c r="D931" s="520"/>
      <c r="E931" s="438" t="s">
        <v>678</v>
      </c>
      <c r="F931" s="438" t="s">
        <v>679</v>
      </c>
      <c r="G931" s="439">
        <v>897000</v>
      </c>
    </row>
    <row r="932" spans="1:7" ht="15">
      <c r="A932" s="522"/>
      <c r="B932" s="520"/>
      <c r="C932" s="520"/>
      <c r="D932" s="520"/>
      <c r="E932" s="438" t="s">
        <v>523</v>
      </c>
      <c r="F932" s="438" t="s">
        <v>525</v>
      </c>
      <c r="G932" s="439">
        <v>0</v>
      </c>
    </row>
    <row r="933" spans="1:7" ht="15">
      <c r="A933" s="522"/>
      <c r="B933" s="520"/>
      <c r="C933" s="520"/>
      <c r="D933" s="520" t="s">
        <v>528</v>
      </c>
      <c r="E933" s="438" t="s">
        <v>499</v>
      </c>
      <c r="F933" s="438" t="s">
        <v>633</v>
      </c>
      <c r="G933" s="439">
        <v>19000000</v>
      </c>
    </row>
    <row r="934" spans="1:7" ht="15">
      <c r="A934" s="522"/>
      <c r="B934" s="520"/>
      <c r="C934" s="520"/>
      <c r="D934" s="520"/>
      <c r="E934" s="520" t="s">
        <v>574</v>
      </c>
      <c r="F934" s="438" t="s">
        <v>575</v>
      </c>
      <c r="G934" s="439">
        <v>2880000</v>
      </c>
    </row>
    <row r="935" spans="1:7" ht="15">
      <c r="A935" s="522"/>
      <c r="B935" s="520"/>
      <c r="C935" s="520"/>
      <c r="D935" s="520"/>
      <c r="E935" s="520"/>
      <c r="F935" s="438" t="s">
        <v>576</v>
      </c>
      <c r="G935" s="439">
        <v>6000000</v>
      </c>
    </row>
    <row r="936" spans="1:7" ht="15">
      <c r="A936" s="522"/>
      <c r="B936" s="520"/>
      <c r="C936" s="520"/>
      <c r="D936" s="520"/>
      <c r="E936" s="520"/>
      <c r="F936" s="438" t="s">
        <v>616</v>
      </c>
      <c r="G936" s="439">
        <v>4000000</v>
      </c>
    </row>
    <row r="937" spans="1:7" ht="15">
      <c r="A937" s="522"/>
      <c r="B937" s="520"/>
      <c r="C937" s="520"/>
      <c r="D937" s="520"/>
      <c r="E937" s="520"/>
      <c r="F937" s="438" t="s">
        <v>579</v>
      </c>
      <c r="G937" s="439">
        <v>18800000</v>
      </c>
    </row>
    <row r="938" spans="1:7" ht="15">
      <c r="A938" s="522"/>
      <c r="B938" s="520"/>
      <c r="C938" s="520"/>
      <c r="D938" s="520"/>
      <c r="E938" s="520" t="s">
        <v>561</v>
      </c>
      <c r="F938" s="438" t="s">
        <v>562</v>
      </c>
      <c r="G938" s="439">
        <v>513000</v>
      </c>
    </row>
    <row r="939" spans="1:7" ht="15">
      <c r="A939" s="522"/>
      <c r="B939" s="520"/>
      <c r="C939" s="520"/>
      <c r="D939" s="520"/>
      <c r="E939" s="520"/>
      <c r="F939" s="438" t="s">
        <v>563</v>
      </c>
      <c r="G939" s="439">
        <v>1080000</v>
      </c>
    </row>
    <row r="940" spans="1:7" ht="15">
      <c r="A940" s="522"/>
      <c r="B940" s="520"/>
      <c r="C940" s="520"/>
      <c r="D940" s="520"/>
      <c r="E940" s="438" t="s">
        <v>634</v>
      </c>
      <c r="F940" s="438" t="s">
        <v>676</v>
      </c>
      <c r="G940" s="439">
        <v>253000000</v>
      </c>
    </row>
    <row r="941" spans="1:7" ht="15">
      <c r="A941" s="522"/>
      <c r="B941" s="520"/>
      <c r="C941" s="520"/>
      <c r="D941" s="520"/>
      <c r="E941" s="438" t="s">
        <v>501</v>
      </c>
      <c r="F941" s="438" t="s">
        <v>503</v>
      </c>
      <c r="G941" s="439">
        <v>19625000</v>
      </c>
    </row>
    <row r="942" spans="1:7" ht="15">
      <c r="A942" s="522"/>
      <c r="B942" s="520"/>
      <c r="C942" s="520"/>
      <c r="D942" s="520"/>
      <c r="E942" s="438" t="s">
        <v>543</v>
      </c>
      <c r="F942" s="438" t="s">
        <v>544</v>
      </c>
      <c r="G942" s="439">
        <v>500000</v>
      </c>
    </row>
    <row r="943" spans="1:7" ht="15">
      <c r="A943" s="522"/>
      <c r="B943" s="520"/>
      <c r="C943" s="520"/>
      <c r="D943" s="520" t="s">
        <v>585</v>
      </c>
      <c r="E943" s="438" t="s">
        <v>501</v>
      </c>
      <c r="F943" s="438" t="s">
        <v>503</v>
      </c>
      <c r="G943" s="439">
        <v>213249020</v>
      </c>
    </row>
    <row r="944" spans="1:7" ht="15">
      <c r="A944" s="522"/>
      <c r="B944" s="520"/>
      <c r="C944" s="520"/>
      <c r="D944" s="520"/>
      <c r="E944" s="438" t="s">
        <v>543</v>
      </c>
      <c r="F944" s="438" t="s">
        <v>544</v>
      </c>
      <c r="G944" s="439">
        <v>59267400</v>
      </c>
    </row>
    <row r="945" spans="1:7" ht="15">
      <c r="A945" s="522"/>
      <c r="B945" s="520"/>
      <c r="C945" s="520"/>
      <c r="D945" s="520"/>
      <c r="E945" s="438" t="s">
        <v>586</v>
      </c>
      <c r="F945" s="438" t="s">
        <v>587</v>
      </c>
      <c r="G945" s="439">
        <v>229560000</v>
      </c>
    </row>
    <row r="946" spans="1:7" ht="15">
      <c r="A946" s="522"/>
      <c r="B946" s="520"/>
      <c r="C946" s="520"/>
      <c r="D946" s="520" t="s">
        <v>573</v>
      </c>
      <c r="E946" s="438" t="s">
        <v>499</v>
      </c>
      <c r="F946" s="438" t="s">
        <v>500</v>
      </c>
      <c r="G946" s="439">
        <v>25046000</v>
      </c>
    </row>
    <row r="947" spans="1:7" ht="15.75" customHeight="1" hidden="1">
      <c r="A947" s="522"/>
      <c r="B947" s="520"/>
      <c r="C947" s="520"/>
      <c r="D947" s="520"/>
      <c r="E947" s="520" t="s">
        <v>561</v>
      </c>
      <c r="F947" s="438" t="s">
        <v>562</v>
      </c>
      <c r="G947" s="439">
        <v>0</v>
      </c>
    </row>
    <row r="948" spans="1:7" ht="15.75" customHeight="1" hidden="1">
      <c r="A948" s="522"/>
      <c r="B948" s="520"/>
      <c r="C948" s="520"/>
      <c r="D948" s="520"/>
      <c r="E948" s="520"/>
      <c r="F948" s="438" t="s">
        <v>563</v>
      </c>
      <c r="G948" s="439">
        <v>0</v>
      </c>
    </row>
    <row r="949" spans="1:7" ht="15.75" customHeight="1" hidden="1">
      <c r="A949" s="522"/>
      <c r="B949" s="520"/>
      <c r="C949" s="520"/>
      <c r="D949" s="520"/>
      <c r="E949" s="438" t="s">
        <v>565</v>
      </c>
      <c r="F949" s="438" t="s">
        <v>566</v>
      </c>
      <c r="G949" s="439">
        <v>0</v>
      </c>
    </row>
    <row r="950" spans="1:7" ht="15">
      <c r="A950" s="522"/>
      <c r="B950" s="520"/>
      <c r="C950" s="520"/>
      <c r="D950" s="520"/>
      <c r="E950" s="520" t="s">
        <v>501</v>
      </c>
      <c r="F950" s="438" t="s">
        <v>502</v>
      </c>
      <c r="G950" s="439">
        <v>1410000</v>
      </c>
    </row>
    <row r="951" spans="1:7" ht="15">
      <c r="A951" s="522"/>
      <c r="B951" s="520"/>
      <c r="C951" s="520"/>
      <c r="D951" s="520"/>
      <c r="E951" s="520"/>
      <c r="F951" s="438" t="s">
        <v>503</v>
      </c>
      <c r="G951" s="439">
        <v>120000</v>
      </c>
    </row>
    <row r="952" spans="1:7" ht="15">
      <c r="A952" s="522"/>
      <c r="B952" s="520" t="s">
        <v>504</v>
      </c>
      <c r="C952" s="520" t="s">
        <v>519</v>
      </c>
      <c r="D952" s="520" t="s">
        <v>573</v>
      </c>
      <c r="E952" s="520" t="s">
        <v>574</v>
      </c>
      <c r="F952" s="438" t="s">
        <v>575</v>
      </c>
      <c r="G952" s="439">
        <v>15360000</v>
      </c>
    </row>
    <row r="953" spans="1:7" ht="15">
      <c r="A953" s="522"/>
      <c r="B953" s="520"/>
      <c r="C953" s="520"/>
      <c r="D953" s="520"/>
      <c r="E953" s="520"/>
      <c r="F953" s="438" t="s">
        <v>576</v>
      </c>
      <c r="G953" s="439">
        <v>4000000</v>
      </c>
    </row>
    <row r="954" spans="1:7" ht="15">
      <c r="A954" s="522"/>
      <c r="B954" s="520"/>
      <c r="C954" s="520"/>
      <c r="D954" s="520"/>
      <c r="E954" s="520"/>
      <c r="F954" s="438" t="s">
        <v>578</v>
      </c>
      <c r="G954" s="439">
        <v>2400000</v>
      </c>
    </row>
    <row r="955" spans="1:7" ht="15">
      <c r="A955" s="522"/>
      <c r="B955" s="520"/>
      <c r="C955" s="520"/>
      <c r="D955" s="520"/>
      <c r="E955" s="520"/>
      <c r="F955" s="438" t="s">
        <v>593</v>
      </c>
      <c r="G955" s="439">
        <v>31200000</v>
      </c>
    </row>
    <row r="956" spans="1:7" ht="15">
      <c r="A956" s="522"/>
      <c r="B956" s="520"/>
      <c r="C956" s="520"/>
      <c r="D956" s="520"/>
      <c r="E956" s="520"/>
      <c r="F956" s="438" t="s">
        <v>579</v>
      </c>
      <c r="G956" s="439">
        <v>22980000</v>
      </c>
    </row>
    <row r="957" spans="1:7" ht="15">
      <c r="A957" s="522"/>
      <c r="B957" s="520"/>
      <c r="C957" s="520"/>
      <c r="D957" s="520"/>
      <c r="E957" s="438" t="s">
        <v>501</v>
      </c>
      <c r="F957" s="438" t="s">
        <v>503</v>
      </c>
      <c r="G957" s="439">
        <v>436000000</v>
      </c>
    </row>
    <row r="958" spans="1:7" ht="15">
      <c r="A958" s="522"/>
      <c r="B958" s="520"/>
      <c r="C958" s="520" t="s">
        <v>497</v>
      </c>
      <c r="D958" s="520" t="s">
        <v>588</v>
      </c>
      <c r="E958" s="438" t="s">
        <v>553</v>
      </c>
      <c r="F958" s="438" t="s">
        <v>629</v>
      </c>
      <c r="G958" s="439">
        <v>560360000</v>
      </c>
    </row>
    <row r="959" spans="1:7" ht="15.75" customHeight="1" hidden="1">
      <c r="A959" s="522"/>
      <c r="B959" s="520"/>
      <c r="C959" s="520"/>
      <c r="D959" s="520"/>
      <c r="E959" s="438" t="s">
        <v>523</v>
      </c>
      <c r="F959" s="438" t="s">
        <v>524</v>
      </c>
      <c r="G959" s="439">
        <v>0</v>
      </c>
    </row>
    <row r="960" spans="1:7" ht="15">
      <c r="A960" s="522"/>
      <c r="B960" s="520"/>
      <c r="C960" s="520" t="s">
        <v>514</v>
      </c>
      <c r="D960" s="520" t="s">
        <v>515</v>
      </c>
      <c r="E960" s="438" t="s">
        <v>559</v>
      </c>
      <c r="F960" s="438" t="s">
        <v>560</v>
      </c>
      <c r="G960" s="439">
        <v>72000000</v>
      </c>
    </row>
    <row r="961" spans="1:7" ht="15">
      <c r="A961" s="522"/>
      <c r="B961" s="520"/>
      <c r="C961" s="520"/>
      <c r="D961" s="520"/>
      <c r="E961" s="520" t="s">
        <v>574</v>
      </c>
      <c r="F961" s="438" t="s">
        <v>575</v>
      </c>
      <c r="G961" s="439">
        <v>43146000</v>
      </c>
    </row>
    <row r="962" spans="1:7" ht="15">
      <c r="A962" s="522"/>
      <c r="B962" s="520"/>
      <c r="C962" s="520"/>
      <c r="D962" s="520"/>
      <c r="E962" s="520"/>
      <c r="F962" s="438" t="s">
        <v>576</v>
      </c>
      <c r="G962" s="439">
        <v>1600000</v>
      </c>
    </row>
    <row r="963" spans="1:7" ht="15">
      <c r="A963" s="522"/>
      <c r="B963" s="520"/>
      <c r="C963" s="520"/>
      <c r="D963" s="520"/>
      <c r="E963" s="520"/>
      <c r="F963" s="438" t="s">
        <v>578</v>
      </c>
      <c r="G963" s="439">
        <v>1200000</v>
      </c>
    </row>
    <row r="964" spans="1:7" ht="15">
      <c r="A964" s="522"/>
      <c r="B964" s="520"/>
      <c r="C964" s="520"/>
      <c r="D964" s="520"/>
      <c r="E964" s="520"/>
      <c r="F964" s="438" t="s">
        <v>616</v>
      </c>
      <c r="G964" s="439">
        <v>2000000</v>
      </c>
    </row>
    <row r="965" spans="1:7" ht="15">
      <c r="A965" s="522"/>
      <c r="B965" s="520"/>
      <c r="C965" s="520"/>
      <c r="D965" s="520"/>
      <c r="E965" s="520"/>
      <c r="F965" s="438" t="s">
        <v>579</v>
      </c>
      <c r="G965" s="439">
        <v>63850000</v>
      </c>
    </row>
    <row r="966" spans="1:7" ht="15">
      <c r="A966" s="522"/>
      <c r="B966" s="520"/>
      <c r="C966" s="520"/>
      <c r="D966" s="520"/>
      <c r="E966" s="438" t="s">
        <v>561</v>
      </c>
      <c r="F966" s="438" t="s">
        <v>563</v>
      </c>
      <c r="G966" s="439">
        <v>2160000</v>
      </c>
    </row>
    <row r="967" spans="1:7" ht="15">
      <c r="A967" s="522"/>
      <c r="B967" s="520"/>
      <c r="C967" s="520"/>
      <c r="D967" s="520"/>
      <c r="E967" s="438" t="s">
        <v>565</v>
      </c>
      <c r="F967" s="438" t="s">
        <v>566</v>
      </c>
      <c r="G967" s="439">
        <v>7700000</v>
      </c>
    </row>
    <row r="968" spans="1:7" ht="15">
      <c r="A968" s="522"/>
      <c r="B968" s="520"/>
      <c r="C968" s="438" t="s">
        <v>580</v>
      </c>
      <c r="D968" s="438" t="s">
        <v>581</v>
      </c>
      <c r="E968" s="438" t="s">
        <v>586</v>
      </c>
      <c r="F968" s="438" t="s">
        <v>587</v>
      </c>
      <c r="G968" s="439">
        <v>76780000</v>
      </c>
    </row>
    <row r="969" spans="1:7" ht="15">
      <c r="A969" s="522"/>
      <c r="B969" s="520" t="s">
        <v>518</v>
      </c>
      <c r="C969" s="520" t="s">
        <v>519</v>
      </c>
      <c r="D969" s="520" t="s">
        <v>520</v>
      </c>
      <c r="E969" s="438" t="s">
        <v>516</v>
      </c>
      <c r="F969" s="438" t="s">
        <v>517</v>
      </c>
      <c r="G969" s="439">
        <v>4464139000</v>
      </c>
    </row>
    <row r="970" spans="1:7" ht="15">
      <c r="A970" s="522"/>
      <c r="B970" s="520"/>
      <c r="C970" s="520"/>
      <c r="D970" s="520"/>
      <c r="E970" s="438" t="s">
        <v>523</v>
      </c>
      <c r="F970" s="438" t="s">
        <v>524</v>
      </c>
      <c r="G970" s="439">
        <v>450000000</v>
      </c>
    </row>
    <row r="971" spans="1:7" ht="15">
      <c r="A971" s="522"/>
      <c r="B971" s="520"/>
      <c r="C971" s="520"/>
      <c r="D971" s="520" t="s">
        <v>526</v>
      </c>
      <c r="E971" s="438" t="s">
        <v>516</v>
      </c>
      <c r="F971" s="438" t="s">
        <v>517</v>
      </c>
      <c r="G971" s="439">
        <v>4300000000</v>
      </c>
    </row>
    <row r="972" spans="1:7" ht="15">
      <c r="A972" s="522"/>
      <c r="B972" s="520"/>
      <c r="C972" s="520"/>
      <c r="D972" s="520"/>
      <c r="E972" s="520" t="s">
        <v>523</v>
      </c>
      <c r="F972" s="438" t="s">
        <v>527</v>
      </c>
      <c r="G972" s="439">
        <v>133197000</v>
      </c>
    </row>
    <row r="973" spans="1:7" ht="15">
      <c r="A973" s="522"/>
      <c r="B973" s="520"/>
      <c r="C973" s="520"/>
      <c r="D973" s="520"/>
      <c r="E973" s="520"/>
      <c r="F973" s="438" t="s">
        <v>524</v>
      </c>
      <c r="G973" s="439">
        <v>1559594000</v>
      </c>
    </row>
    <row r="974" spans="1:7" ht="15">
      <c r="A974" s="522"/>
      <c r="B974" s="520"/>
      <c r="C974" s="520"/>
      <c r="D974" s="520"/>
      <c r="E974" s="520"/>
      <c r="F974" s="438" t="s">
        <v>525</v>
      </c>
      <c r="G974" s="439">
        <v>8679000</v>
      </c>
    </row>
    <row r="975" spans="1:7" ht="15">
      <c r="A975" s="522"/>
      <c r="B975" s="520"/>
      <c r="C975" s="520"/>
      <c r="D975" s="520" t="s">
        <v>528</v>
      </c>
      <c r="E975" s="438" t="s">
        <v>516</v>
      </c>
      <c r="F975" s="438" t="s">
        <v>517</v>
      </c>
      <c r="G975" s="439">
        <v>7400000000</v>
      </c>
    </row>
    <row r="976" spans="1:7" ht="15">
      <c r="A976" s="522"/>
      <c r="B976" s="520"/>
      <c r="C976" s="520"/>
      <c r="D976" s="520"/>
      <c r="E976" s="520" t="s">
        <v>523</v>
      </c>
      <c r="F976" s="438" t="s">
        <v>527</v>
      </c>
      <c r="G976" s="439">
        <v>30000000</v>
      </c>
    </row>
    <row r="977" spans="1:7" ht="15">
      <c r="A977" s="522"/>
      <c r="B977" s="520"/>
      <c r="C977" s="520"/>
      <c r="D977" s="520"/>
      <c r="E977" s="520"/>
      <c r="F977" s="438" t="s">
        <v>524</v>
      </c>
      <c r="G977" s="439">
        <v>620000000</v>
      </c>
    </row>
    <row r="978" spans="1:7" ht="15">
      <c r="A978" s="522"/>
      <c r="B978" s="520"/>
      <c r="C978" s="520"/>
      <c r="D978" s="520" t="s">
        <v>585</v>
      </c>
      <c r="E978" s="438" t="s">
        <v>604</v>
      </c>
      <c r="F978" s="438" t="s">
        <v>619</v>
      </c>
      <c r="G978" s="439">
        <v>235770000</v>
      </c>
    </row>
    <row r="979" spans="1:7" ht="15">
      <c r="A979" s="522"/>
      <c r="B979" s="520"/>
      <c r="C979" s="520"/>
      <c r="D979" s="520"/>
      <c r="E979" s="520" t="s">
        <v>499</v>
      </c>
      <c r="F979" s="438" t="s">
        <v>500</v>
      </c>
      <c r="G979" s="439">
        <v>6750000</v>
      </c>
    </row>
    <row r="980" spans="1:7" ht="15">
      <c r="A980" s="522"/>
      <c r="B980" s="520"/>
      <c r="C980" s="520"/>
      <c r="D980" s="520"/>
      <c r="E980" s="520"/>
      <c r="F980" s="438" t="s">
        <v>633</v>
      </c>
      <c r="G980" s="439">
        <v>21779000</v>
      </c>
    </row>
    <row r="981" spans="1:7" ht="15">
      <c r="A981" s="522"/>
      <c r="B981" s="520"/>
      <c r="C981" s="520"/>
      <c r="D981" s="520"/>
      <c r="E981" s="520"/>
      <c r="F981" s="438" t="s">
        <v>541</v>
      </c>
      <c r="G981" s="439">
        <v>12192000</v>
      </c>
    </row>
    <row r="982" spans="1:7" ht="15">
      <c r="A982" s="522"/>
      <c r="B982" s="520"/>
      <c r="C982" s="520"/>
      <c r="D982" s="520"/>
      <c r="E982" s="438" t="s">
        <v>561</v>
      </c>
      <c r="F982" s="438" t="s">
        <v>563</v>
      </c>
      <c r="G982" s="439">
        <v>4380000</v>
      </c>
    </row>
    <row r="983" spans="1:7" ht="15">
      <c r="A983" s="522"/>
      <c r="B983" s="520"/>
      <c r="C983" s="520"/>
      <c r="D983" s="520"/>
      <c r="E983" s="520" t="s">
        <v>565</v>
      </c>
      <c r="F983" s="438" t="s">
        <v>566</v>
      </c>
      <c r="G983" s="439">
        <v>64200000</v>
      </c>
    </row>
    <row r="984" spans="1:7" ht="15">
      <c r="A984" s="522"/>
      <c r="B984" s="520"/>
      <c r="C984" s="520"/>
      <c r="D984" s="520"/>
      <c r="E984" s="520"/>
      <c r="F984" s="438" t="s">
        <v>620</v>
      </c>
      <c r="G984" s="439">
        <v>12000000</v>
      </c>
    </row>
    <row r="985" spans="1:7" ht="15">
      <c r="A985" s="522"/>
      <c r="B985" s="520"/>
      <c r="C985" s="520"/>
      <c r="D985" s="520"/>
      <c r="E985" s="438" t="s">
        <v>553</v>
      </c>
      <c r="F985" s="438" t="s">
        <v>626</v>
      </c>
      <c r="G985" s="439">
        <v>2730173800</v>
      </c>
    </row>
    <row r="986" spans="1:7" ht="15">
      <c r="A986" s="522"/>
      <c r="B986" s="520"/>
      <c r="C986" s="520"/>
      <c r="D986" s="520"/>
      <c r="E986" s="438" t="s">
        <v>634</v>
      </c>
      <c r="F986" s="438" t="s">
        <v>635</v>
      </c>
      <c r="G986" s="439">
        <v>173221000</v>
      </c>
    </row>
    <row r="987" spans="1:7" ht="15">
      <c r="A987" s="522"/>
      <c r="B987" s="520"/>
      <c r="C987" s="520"/>
      <c r="D987" s="520"/>
      <c r="E987" s="520" t="s">
        <v>501</v>
      </c>
      <c r="F987" s="438" t="s">
        <v>589</v>
      </c>
      <c r="G987" s="439">
        <v>16236000</v>
      </c>
    </row>
    <row r="988" spans="1:7" ht="15">
      <c r="A988" s="522"/>
      <c r="B988" s="520"/>
      <c r="C988" s="520"/>
      <c r="D988" s="520"/>
      <c r="E988" s="520"/>
      <c r="F988" s="438" t="s">
        <v>503</v>
      </c>
      <c r="G988" s="439">
        <v>58915000</v>
      </c>
    </row>
    <row r="989" spans="1:7" ht="15">
      <c r="A989" s="522"/>
      <c r="B989" s="520"/>
      <c r="C989" s="520"/>
      <c r="D989" s="520"/>
      <c r="E989" s="438" t="s">
        <v>543</v>
      </c>
      <c r="F989" s="438" t="s">
        <v>544</v>
      </c>
      <c r="G989" s="439">
        <v>43065000</v>
      </c>
    </row>
    <row r="990" spans="1:7" ht="15">
      <c r="A990" s="522"/>
      <c r="B990" s="520"/>
      <c r="C990" s="520"/>
      <c r="D990" s="520"/>
      <c r="E990" s="520" t="s">
        <v>586</v>
      </c>
      <c r="F990" s="438" t="s">
        <v>587</v>
      </c>
      <c r="G990" s="439">
        <v>6127156736</v>
      </c>
    </row>
    <row r="991" spans="1:7" ht="15">
      <c r="A991" s="522"/>
      <c r="B991" s="520"/>
      <c r="C991" s="520"/>
      <c r="D991" s="520"/>
      <c r="E991" s="520"/>
      <c r="F991" s="438" t="s">
        <v>621</v>
      </c>
      <c r="G991" s="439">
        <v>8400000</v>
      </c>
    </row>
    <row r="992" spans="1:7" ht="15">
      <c r="A992" s="522"/>
      <c r="B992" s="520"/>
      <c r="C992" s="520"/>
      <c r="D992" s="520" t="s">
        <v>652</v>
      </c>
      <c r="E992" s="520" t="s">
        <v>565</v>
      </c>
      <c r="F992" s="438" t="s">
        <v>567</v>
      </c>
      <c r="G992" s="439">
        <v>4000000</v>
      </c>
    </row>
    <row r="993" spans="1:7" ht="15">
      <c r="A993" s="522"/>
      <c r="B993" s="520"/>
      <c r="C993" s="520"/>
      <c r="D993" s="520"/>
      <c r="E993" s="520"/>
      <c r="F993" s="438" t="s">
        <v>583</v>
      </c>
      <c r="G993" s="439">
        <v>5000000</v>
      </c>
    </row>
    <row r="994" spans="1:7" ht="15">
      <c r="A994" s="522"/>
      <c r="B994" s="520"/>
      <c r="C994" s="520"/>
      <c r="D994" s="520"/>
      <c r="E994" s="520" t="s">
        <v>501</v>
      </c>
      <c r="F994" s="438" t="s">
        <v>502</v>
      </c>
      <c r="G994" s="439">
        <v>22500000</v>
      </c>
    </row>
    <row r="995" spans="1:7" ht="15">
      <c r="A995" s="522"/>
      <c r="B995" s="520"/>
      <c r="C995" s="520"/>
      <c r="D995" s="520"/>
      <c r="E995" s="520"/>
      <c r="F995" s="438" t="s">
        <v>503</v>
      </c>
      <c r="G995" s="439">
        <v>10500000</v>
      </c>
    </row>
    <row r="996" spans="1:7" ht="15.75" customHeight="1" hidden="1">
      <c r="A996" s="522"/>
      <c r="B996" s="520"/>
      <c r="C996" s="520"/>
      <c r="D996" s="520"/>
      <c r="E996" s="438" t="s">
        <v>543</v>
      </c>
      <c r="F996" s="438" t="s">
        <v>601</v>
      </c>
      <c r="G996" s="439">
        <v>0</v>
      </c>
    </row>
    <row r="997" spans="1:7" ht="15">
      <c r="A997" s="522"/>
      <c r="B997" s="520"/>
      <c r="C997" s="520" t="s">
        <v>497</v>
      </c>
      <c r="D997" s="520" t="s">
        <v>534</v>
      </c>
      <c r="E997" s="438" t="s">
        <v>516</v>
      </c>
      <c r="F997" s="438" t="s">
        <v>517</v>
      </c>
      <c r="G997" s="439">
        <v>553328000</v>
      </c>
    </row>
    <row r="998" spans="1:7" ht="15">
      <c r="A998" s="522"/>
      <c r="B998" s="520"/>
      <c r="C998" s="520"/>
      <c r="D998" s="520"/>
      <c r="E998" s="520" t="s">
        <v>523</v>
      </c>
      <c r="F998" s="438" t="s">
        <v>524</v>
      </c>
      <c r="G998" s="439">
        <v>307808000</v>
      </c>
    </row>
    <row r="999" spans="1:7" ht="15">
      <c r="A999" s="522"/>
      <c r="B999" s="520"/>
      <c r="C999" s="520"/>
      <c r="D999" s="520"/>
      <c r="E999" s="520"/>
      <c r="F999" s="438" t="s">
        <v>525</v>
      </c>
      <c r="G999" s="439">
        <v>2761000</v>
      </c>
    </row>
    <row r="1000" spans="1:7" ht="15">
      <c r="A1000" s="523"/>
      <c r="B1000" s="520"/>
      <c r="C1000" s="520"/>
      <c r="D1000" s="438" t="s">
        <v>588</v>
      </c>
      <c r="E1000" s="438" t="s">
        <v>553</v>
      </c>
      <c r="F1000" s="438" t="s">
        <v>626</v>
      </c>
      <c r="G1000" s="439">
        <v>836450000</v>
      </c>
    </row>
    <row r="1001" spans="1:7" ht="15">
      <c r="A1001" s="519" t="s">
        <v>700</v>
      </c>
      <c r="B1001" s="520" t="s">
        <v>656</v>
      </c>
      <c r="C1001" s="520" t="s">
        <v>529</v>
      </c>
      <c r="D1001" s="520" t="s">
        <v>530</v>
      </c>
      <c r="E1001" s="438" t="s">
        <v>570</v>
      </c>
      <c r="F1001" s="438" t="s">
        <v>600</v>
      </c>
      <c r="G1001" s="439">
        <v>4554700</v>
      </c>
    </row>
    <row r="1002" spans="1:7" ht="15">
      <c r="A1002" s="519"/>
      <c r="B1002" s="520"/>
      <c r="C1002" s="520"/>
      <c r="D1002" s="520"/>
      <c r="E1002" s="520" t="s">
        <v>561</v>
      </c>
      <c r="F1002" s="438" t="s">
        <v>563</v>
      </c>
      <c r="G1002" s="439">
        <v>13890000</v>
      </c>
    </row>
    <row r="1003" spans="1:7" ht="15">
      <c r="A1003" s="519"/>
      <c r="B1003" s="520"/>
      <c r="C1003" s="520"/>
      <c r="D1003" s="520"/>
      <c r="E1003" s="520"/>
      <c r="F1003" s="438" t="s">
        <v>564</v>
      </c>
      <c r="G1003" s="439">
        <v>3985300</v>
      </c>
    </row>
    <row r="1004" spans="1:7" ht="15">
      <c r="A1004" s="519"/>
      <c r="B1004" s="520"/>
      <c r="C1004" s="520"/>
      <c r="D1004" s="520"/>
      <c r="E1004" s="520"/>
      <c r="F1004" s="438" t="s">
        <v>663</v>
      </c>
      <c r="G1004" s="439">
        <v>1050000</v>
      </c>
    </row>
    <row r="1005" spans="1:7" ht="15">
      <c r="A1005" s="519"/>
      <c r="B1005" s="520"/>
      <c r="C1005" s="520"/>
      <c r="D1005" s="520"/>
      <c r="E1005" s="438" t="s">
        <v>565</v>
      </c>
      <c r="F1005" s="438" t="s">
        <v>566</v>
      </c>
      <c r="G1005" s="439">
        <v>15000000</v>
      </c>
    </row>
    <row r="1006" spans="1:7" ht="15">
      <c r="A1006" s="519"/>
      <c r="B1006" s="520"/>
      <c r="C1006" s="520"/>
      <c r="D1006" s="520"/>
      <c r="E1006" s="438" t="s">
        <v>553</v>
      </c>
      <c r="F1006" s="438" t="s">
        <v>627</v>
      </c>
      <c r="G1006" s="439">
        <v>298869000</v>
      </c>
    </row>
    <row r="1007" spans="1:7" ht="15">
      <c r="A1007" s="519"/>
      <c r="B1007" s="520"/>
      <c r="C1007" s="520"/>
      <c r="D1007" s="520"/>
      <c r="E1007" s="520" t="s">
        <v>501</v>
      </c>
      <c r="F1007" s="438" t="s">
        <v>502</v>
      </c>
      <c r="G1007" s="439">
        <v>42000000</v>
      </c>
    </row>
    <row r="1008" spans="1:7" ht="15">
      <c r="A1008" s="519"/>
      <c r="B1008" s="520"/>
      <c r="C1008" s="520"/>
      <c r="D1008" s="520"/>
      <c r="E1008" s="520"/>
      <c r="F1008" s="438" t="s">
        <v>701</v>
      </c>
      <c r="G1008" s="439">
        <v>56400000</v>
      </c>
    </row>
    <row r="1009" spans="1:7" ht="15">
      <c r="A1009" s="519"/>
      <c r="B1009" s="520"/>
      <c r="C1009" s="520"/>
      <c r="D1009" s="520"/>
      <c r="E1009" s="520"/>
      <c r="F1009" s="438" t="s">
        <v>589</v>
      </c>
      <c r="G1009" s="439">
        <v>396649600</v>
      </c>
    </row>
    <row r="1010" spans="1:7" ht="15">
      <c r="A1010" s="519"/>
      <c r="B1010" s="520"/>
      <c r="C1010" s="520"/>
      <c r="D1010" s="520"/>
      <c r="E1010" s="520"/>
      <c r="F1010" s="438" t="s">
        <v>503</v>
      </c>
      <c r="G1010" s="439">
        <v>454740000</v>
      </c>
    </row>
    <row r="1011" spans="1:7" ht="15">
      <c r="A1011" s="519"/>
      <c r="B1011" s="520"/>
      <c r="C1011" s="520"/>
      <c r="D1011" s="520"/>
      <c r="E1011" s="438" t="s">
        <v>543</v>
      </c>
      <c r="F1011" s="438" t="s">
        <v>601</v>
      </c>
      <c r="G1011" s="439">
        <v>5757000</v>
      </c>
    </row>
    <row r="1012" spans="1:7" ht="15">
      <c r="A1012" s="519"/>
      <c r="B1012" s="520"/>
      <c r="C1012" s="520"/>
      <c r="D1012" s="520"/>
      <c r="E1012" s="438" t="s">
        <v>523</v>
      </c>
      <c r="F1012" s="438" t="s">
        <v>524</v>
      </c>
      <c r="G1012" s="439">
        <v>192755500</v>
      </c>
    </row>
    <row r="1013" spans="1:7" ht="15">
      <c r="A1013" s="519"/>
      <c r="B1013" s="438" t="s">
        <v>513</v>
      </c>
      <c r="C1013" s="438" t="s">
        <v>497</v>
      </c>
      <c r="D1013" s="438" t="s">
        <v>534</v>
      </c>
      <c r="E1013" s="438" t="s">
        <v>516</v>
      </c>
      <c r="F1013" s="438" t="s">
        <v>517</v>
      </c>
      <c r="G1013" s="439">
        <v>315000000</v>
      </c>
    </row>
    <row r="1014" spans="1:7" ht="15">
      <c r="A1014" s="519"/>
      <c r="B1014" s="520" t="s">
        <v>594</v>
      </c>
      <c r="C1014" s="520" t="s">
        <v>529</v>
      </c>
      <c r="D1014" s="520" t="s">
        <v>530</v>
      </c>
      <c r="E1014" s="438" t="s">
        <v>499</v>
      </c>
      <c r="F1014" s="438" t="s">
        <v>541</v>
      </c>
      <c r="G1014" s="439">
        <v>5650000</v>
      </c>
    </row>
    <row r="1015" spans="1:7" ht="15">
      <c r="A1015" s="519"/>
      <c r="B1015" s="520"/>
      <c r="C1015" s="520"/>
      <c r="D1015" s="520"/>
      <c r="E1015" s="520" t="s">
        <v>574</v>
      </c>
      <c r="F1015" s="438" t="s">
        <v>575</v>
      </c>
      <c r="G1015" s="439">
        <v>1050000</v>
      </c>
    </row>
    <row r="1016" spans="1:7" ht="15">
      <c r="A1016" s="519"/>
      <c r="B1016" s="520"/>
      <c r="C1016" s="520"/>
      <c r="D1016" s="520"/>
      <c r="E1016" s="520"/>
      <c r="F1016" s="438" t="s">
        <v>576</v>
      </c>
      <c r="G1016" s="439">
        <v>9000000</v>
      </c>
    </row>
    <row r="1017" spans="1:7" ht="15">
      <c r="A1017" s="519"/>
      <c r="B1017" s="520"/>
      <c r="C1017" s="520"/>
      <c r="D1017" s="520"/>
      <c r="E1017" s="520"/>
      <c r="F1017" s="438" t="s">
        <v>578</v>
      </c>
      <c r="G1017" s="439">
        <v>3000000</v>
      </c>
    </row>
    <row r="1018" spans="1:7" ht="15">
      <c r="A1018" s="519"/>
      <c r="B1018" s="520"/>
      <c r="C1018" s="520"/>
      <c r="D1018" s="520"/>
      <c r="E1018" s="520"/>
      <c r="F1018" s="438" t="s">
        <v>579</v>
      </c>
      <c r="G1018" s="439">
        <v>21700000</v>
      </c>
    </row>
    <row r="1019" spans="1:7" ht="15">
      <c r="A1019" s="519"/>
      <c r="B1019" s="520"/>
      <c r="C1019" s="520"/>
      <c r="D1019" s="520"/>
      <c r="E1019" s="438" t="s">
        <v>565</v>
      </c>
      <c r="F1019" s="438" t="s">
        <v>583</v>
      </c>
      <c r="G1019" s="439">
        <v>14790000</v>
      </c>
    </row>
    <row r="1020" spans="1:7" ht="15">
      <c r="A1020" s="519"/>
      <c r="B1020" s="520"/>
      <c r="C1020" s="520"/>
      <c r="D1020" s="520"/>
      <c r="E1020" s="438" t="s">
        <v>634</v>
      </c>
      <c r="F1020" s="438" t="s">
        <v>702</v>
      </c>
      <c r="G1020" s="439">
        <v>88510000</v>
      </c>
    </row>
    <row r="1021" spans="1:7" ht="15">
      <c r="A1021" s="519"/>
      <c r="B1021" s="520"/>
      <c r="C1021" s="520"/>
      <c r="D1021" s="520"/>
      <c r="E1021" s="520" t="s">
        <v>501</v>
      </c>
      <c r="F1021" s="438" t="s">
        <v>502</v>
      </c>
      <c r="G1021" s="439">
        <v>28000000</v>
      </c>
    </row>
    <row r="1022" spans="1:7" ht="15">
      <c r="A1022" s="519"/>
      <c r="B1022" s="520"/>
      <c r="C1022" s="520"/>
      <c r="D1022" s="520"/>
      <c r="E1022" s="520"/>
      <c r="F1022" s="438" t="s">
        <v>503</v>
      </c>
      <c r="G1022" s="439">
        <v>99013000</v>
      </c>
    </row>
    <row r="1023" spans="1:7" ht="15">
      <c r="A1023" s="519"/>
      <c r="B1023" s="520"/>
      <c r="C1023" s="520"/>
      <c r="D1023" s="520"/>
      <c r="E1023" s="520" t="s">
        <v>543</v>
      </c>
      <c r="F1023" s="438" t="s">
        <v>617</v>
      </c>
      <c r="G1023" s="439">
        <v>5250000</v>
      </c>
    </row>
    <row r="1024" spans="1:7" ht="15">
      <c r="A1024" s="519"/>
      <c r="B1024" s="520"/>
      <c r="C1024" s="520"/>
      <c r="D1024" s="520"/>
      <c r="E1024" s="520"/>
      <c r="F1024" s="438" t="s">
        <v>544</v>
      </c>
      <c r="G1024" s="439">
        <v>287050000</v>
      </c>
    </row>
    <row r="1025" spans="1:7" ht="15">
      <c r="A1025" s="519"/>
      <c r="B1025" s="520"/>
      <c r="C1025" s="520" t="s">
        <v>514</v>
      </c>
      <c r="D1025" s="520" t="s">
        <v>515</v>
      </c>
      <c r="E1025" s="438" t="s">
        <v>499</v>
      </c>
      <c r="F1025" s="438" t="s">
        <v>633</v>
      </c>
      <c r="G1025" s="439">
        <v>1910000</v>
      </c>
    </row>
    <row r="1026" spans="1:7" ht="15">
      <c r="A1026" s="519"/>
      <c r="B1026" s="520"/>
      <c r="C1026" s="520"/>
      <c r="D1026" s="520"/>
      <c r="E1026" s="520" t="s">
        <v>574</v>
      </c>
      <c r="F1026" s="438" t="s">
        <v>575</v>
      </c>
      <c r="G1026" s="439">
        <v>2289000</v>
      </c>
    </row>
    <row r="1027" spans="1:7" ht="15">
      <c r="A1027" s="519"/>
      <c r="B1027" s="520"/>
      <c r="C1027" s="520"/>
      <c r="D1027" s="520"/>
      <c r="E1027" s="520"/>
      <c r="F1027" s="438" t="s">
        <v>593</v>
      </c>
      <c r="G1027" s="439">
        <v>18200000</v>
      </c>
    </row>
    <row r="1028" spans="1:7" ht="15">
      <c r="A1028" s="519"/>
      <c r="B1028" s="520"/>
      <c r="C1028" s="520"/>
      <c r="D1028" s="520"/>
      <c r="E1028" s="520"/>
      <c r="F1028" s="438" t="s">
        <v>579</v>
      </c>
      <c r="G1028" s="439">
        <v>33787000</v>
      </c>
    </row>
    <row r="1029" spans="1:7" ht="15">
      <c r="A1029" s="519"/>
      <c r="B1029" s="520"/>
      <c r="C1029" s="520"/>
      <c r="D1029" s="520"/>
      <c r="E1029" s="438" t="s">
        <v>565</v>
      </c>
      <c r="F1029" s="438" t="s">
        <v>566</v>
      </c>
      <c r="G1029" s="439">
        <v>8000000</v>
      </c>
    </row>
    <row r="1030" spans="1:7" ht="15">
      <c r="A1030" s="519"/>
      <c r="B1030" s="520"/>
      <c r="C1030" s="520"/>
      <c r="D1030" s="520"/>
      <c r="E1030" s="438" t="s">
        <v>634</v>
      </c>
      <c r="F1030" s="438" t="s">
        <v>676</v>
      </c>
      <c r="G1030" s="439">
        <v>18040000</v>
      </c>
    </row>
    <row r="1031" spans="1:7" ht="15">
      <c r="A1031" s="519"/>
      <c r="B1031" s="520"/>
      <c r="C1031" s="520"/>
      <c r="D1031" s="520"/>
      <c r="E1031" s="520" t="s">
        <v>501</v>
      </c>
      <c r="F1031" s="438" t="s">
        <v>502</v>
      </c>
      <c r="G1031" s="439">
        <v>66250000</v>
      </c>
    </row>
    <row r="1032" spans="1:7" ht="15">
      <c r="A1032" s="519"/>
      <c r="B1032" s="520"/>
      <c r="C1032" s="520"/>
      <c r="D1032" s="520"/>
      <c r="E1032" s="520"/>
      <c r="F1032" s="438" t="s">
        <v>701</v>
      </c>
      <c r="G1032" s="439">
        <v>95950000</v>
      </c>
    </row>
    <row r="1033" spans="1:7" ht="15">
      <c r="A1033" s="519"/>
      <c r="B1033" s="520"/>
      <c r="C1033" s="520"/>
      <c r="D1033" s="520"/>
      <c r="E1033" s="520"/>
      <c r="F1033" s="438" t="s">
        <v>503</v>
      </c>
      <c r="G1033" s="439">
        <v>180850000</v>
      </c>
    </row>
    <row r="1034" spans="1:7" ht="15">
      <c r="A1034" s="519"/>
      <c r="B1034" s="520"/>
      <c r="C1034" s="520"/>
      <c r="D1034" s="520"/>
      <c r="E1034" s="520" t="s">
        <v>543</v>
      </c>
      <c r="F1034" s="438" t="s">
        <v>601</v>
      </c>
      <c r="G1034" s="439">
        <v>2200000</v>
      </c>
    </row>
    <row r="1035" spans="1:7" ht="15">
      <c r="A1035" s="519"/>
      <c r="B1035" s="520"/>
      <c r="C1035" s="520"/>
      <c r="D1035" s="520"/>
      <c r="E1035" s="520"/>
      <c r="F1035" s="438" t="s">
        <v>617</v>
      </c>
      <c r="G1035" s="439">
        <v>4400000</v>
      </c>
    </row>
    <row r="1036" spans="1:7" ht="15">
      <c r="A1036" s="519"/>
      <c r="B1036" s="520"/>
      <c r="C1036" s="520"/>
      <c r="D1036" s="520"/>
      <c r="E1036" s="520"/>
      <c r="F1036" s="438" t="s">
        <v>544</v>
      </c>
      <c r="G1036" s="439">
        <v>4350000</v>
      </c>
    </row>
    <row r="1037" spans="1:7" ht="15">
      <c r="A1037" s="519"/>
      <c r="B1037" s="520" t="s">
        <v>518</v>
      </c>
      <c r="C1037" s="520" t="s">
        <v>529</v>
      </c>
      <c r="D1037" s="520" t="s">
        <v>530</v>
      </c>
      <c r="E1037" s="438" t="s">
        <v>501</v>
      </c>
      <c r="F1037" s="438" t="s">
        <v>503</v>
      </c>
      <c r="G1037" s="439">
        <v>34400000</v>
      </c>
    </row>
    <row r="1038" spans="1:7" ht="15">
      <c r="A1038" s="519"/>
      <c r="B1038" s="520"/>
      <c r="C1038" s="520"/>
      <c r="D1038" s="520"/>
      <c r="E1038" s="438" t="s">
        <v>543</v>
      </c>
      <c r="F1038" s="438" t="s">
        <v>544</v>
      </c>
      <c r="G1038" s="439">
        <v>52488000</v>
      </c>
    </row>
    <row r="1039" spans="1:7" ht="15">
      <c r="A1039" s="519"/>
      <c r="B1039" s="520"/>
      <c r="C1039" s="520"/>
      <c r="D1039" s="520"/>
      <c r="E1039" s="438" t="s">
        <v>516</v>
      </c>
      <c r="F1039" s="438" t="s">
        <v>517</v>
      </c>
      <c r="G1039" s="439">
        <v>165000000</v>
      </c>
    </row>
    <row r="1040" spans="1:7" ht="15" hidden="1">
      <c r="A1040" s="519"/>
      <c r="B1040" s="520" t="s">
        <v>508</v>
      </c>
      <c r="C1040" s="520" t="s">
        <v>529</v>
      </c>
      <c r="D1040" s="520" t="s">
        <v>530</v>
      </c>
      <c r="E1040" s="438" t="s">
        <v>553</v>
      </c>
      <c r="F1040" s="438" t="s">
        <v>629</v>
      </c>
      <c r="G1040" s="439">
        <v>0</v>
      </c>
    </row>
    <row r="1041" spans="1:7" ht="15" hidden="1">
      <c r="A1041" s="519"/>
      <c r="B1041" s="520"/>
      <c r="C1041" s="520"/>
      <c r="D1041" s="520"/>
      <c r="E1041" s="438" t="s">
        <v>634</v>
      </c>
      <c r="F1041" s="438" t="s">
        <v>635</v>
      </c>
      <c r="G1041" s="439">
        <v>0</v>
      </c>
    </row>
    <row r="1042" spans="1:7" ht="15">
      <c r="A1042" s="519"/>
      <c r="B1042" s="520"/>
      <c r="C1042" s="520"/>
      <c r="D1042" s="520"/>
      <c r="E1042" s="520" t="s">
        <v>516</v>
      </c>
      <c r="F1042" s="438" t="s">
        <v>517</v>
      </c>
      <c r="G1042" s="439">
        <v>459250000</v>
      </c>
    </row>
    <row r="1043" spans="1:7" ht="15">
      <c r="A1043" s="519"/>
      <c r="B1043" s="520"/>
      <c r="C1043" s="520"/>
      <c r="D1043" s="520"/>
      <c r="E1043" s="520"/>
      <c r="F1043" s="438" t="s">
        <v>703</v>
      </c>
      <c r="G1043" s="439">
        <v>25000000</v>
      </c>
    </row>
    <row r="1044" spans="1:7" ht="15">
      <c r="A1044" s="519"/>
      <c r="B1044" s="520"/>
      <c r="C1044" s="520"/>
      <c r="D1044" s="520"/>
      <c r="E1044" s="520"/>
      <c r="F1044" s="438" t="s">
        <v>638</v>
      </c>
      <c r="G1044" s="439">
        <v>295000000</v>
      </c>
    </row>
    <row r="1045" spans="1:7" ht="15">
      <c r="A1045" s="519"/>
      <c r="B1045" s="520"/>
      <c r="C1045" s="520"/>
      <c r="D1045" s="520"/>
      <c r="E1045" s="438" t="s">
        <v>640</v>
      </c>
      <c r="F1045" s="438" t="s">
        <v>704</v>
      </c>
      <c r="G1045" s="439">
        <v>247000000</v>
      </c>
    </row>
    <row r="1046" spans="1:7" ht="15">
      <c r="A1046" s="519"/>
      <c r="B1046" s="520"/>
      <c r="C1046" s="520"/>
      <c r="D1046" s="520"/>
      <c r="E1046" s="520" t="s">
        <v>523</v>
      </c>
      <c r="F1046" s="438" t="s">
        <v>527</v>
      </c>
      <c r="G1046" s="439">
        <v>9664000</v>
      </c>
    </row>
    <row r="1047" spans="1:7" ht="15">
      <c r="A1047" s="519"/>
      <c r="B1047" s="520"/>
      <c r="C1047" s="520"/>
      <c r="D1047" s="520"/>
      <c r="E1047" s="520"/>
      <c r="F1047" s="438" t="s">
        <v>525</v>
      </c>
      <c r="G1047" s="439">
        <v>185308000</v>
      </c>
    </row>
    <row r="1048" spans="1:7" ht="15">
      <c r="A1048" s="519"/>
      <c r="B1048" s="520"/>
      <c r="C1048" s="438" t="s">
        <v>497</v>
      </c>
      <c r="D1048" s="438" t="s">
        <v>532</v>
      </c>
      <c r="E1048" s="438" t="s">
        <v>516</v>
      </c>
      <c r="F1048" s="438" t="s">
        <v>517</v>
      </c>
      <c r="G1048" s="439">
        <v>1000000000</v>
      </c>
    </row>
    <row r="1049" spans="1:7" ht="15">
      <c r="A1049" s="519"/>
      <c r="B1049" s="520"/>
      <c r="C1049" s="520" t="s">
        <v>514</v>
      </c>
      <c r="D1049" s="520" t="s">
        <v>515</v>
      </c>
      <c r="E1049" s="520" t="s">
        <v>499</v>
      </c>
      <c r="F1049" s="438" t="s">
        <v>633</v>
      </c>
      <c r="G1049" s="439">
        <v>41000000</v>
      </c>
    </row>
    <row r="1050" spans="1:7" ht="15">
      <c r="A1050" s="519"/>
      <c r="B1050" s="520"/>
      <c r="C1050" s="520"/>
      <c r="D1050" s="520"/>
      <c r="E1050" s="520"/>
      <c r="F1050" s="438" t="s">
        <v>541</v>
      </c>
      <c r="G1050" s="439">
        <v>4000000</v>
      </c>
    </row>
    <row r="1051" spans="1:7" ht="15">
      <c r="A1051" s="519" t="s">
        <v>705</v>
      </c>
      <c r="B1051" s="520" t="s">
        <v>706</v>
      </c>
      <c r="C1051" s="520" t="s">
        <v>550</v>
      </c>
      <c r="D1051" s="520" t="s">
        <v>707</v>
      </c>
      <c r="E1051" s="438" t="s">
        <v>499</v>
      </c>
      <c r="F1051" s="438" t="s">
        <v>500</v>
      </c>
      <c r="G1051" s="439">
        <v>5295000</v>
      </c>
    </row>
    <row r="1052" spans="1:7" ht="15">
      <c r="A1052" s="519"/>
      <c r="B1052" s="520"/>
      <c r="C1052" s="520"/>
      <c r="D1052" s="520"/>
      <c r="E1052" s="438" t="s">
        <v>559</v>
      </c>
      <c r="F1052" s="438" t="s">
        <v>697</v>
      </c>
      <c r="G1052" s="439">
        <v>8750000</v>
      </c>
    </row>
    <row r="1053" spans="1:7" ht="15">
      <c r="A1053" s="519"/>
      <c r="B1053" s="520"/>
      <c r="C1053" s="520"/>
      <c r="D1053" s="520"/>
      <c r="E1053" s="520" t="s">
        <v>574</v>
      </c>
      <c r="F1053" s="438" t="s">
        <v>575</v>
      </c>
      <c r="G1053" s="439">
        <v>2925000</v>
      </c>
    </row>
    <row r="1054" spans="1:7" ht="15">
      <c r="A1054" s="519"/>
      <c r="B1054" s="520"/>
      <c r="C1054" s="520"/>
      <c r="D1054" s="520"/>
      <c r="E1054" s="520"/>
      <c r="F1054" s="438" t="s">
        <v>576</v>
      </c>
      <c r="G1054" s="439">
        <v>6000000</v>
      </c>
    </row>
    <row r="1055" spans="1:7" ht="15">
      <c r="A1055" s="519"/>
      <c r="B1055" s="520"/>
      <c r="C1055" s="520"/>
      <c r="D1055" s="520"/>
      <c r="E1055" s="520"/>
      <c r="F1055" s="438" t="s">
        <v>593</v>
      </c>
      <c r="G1055" s="439">
        <v>16300000</v>
      </c>
    </row>
    <row r="1056" spans="1:7" ht="15">
      <c r="A1056" s="519"/>
      <c r="B1056" s="520"/>
      <c r="C1056" s="520"/>
      <c r="D1056" s="520"/>
      <c r="E1056" s="520"/>
      <c r="F1056" s="438" t="s">
        <v>579</v>
      </c>
      <c r="G1056" s="439">
        <v>23096400</v>
      </c>
    </row>
    <row r="1057" spans="1:7" ht="15">
      <c r="A1057" s="519"/>
      <c r="B1057" s="520"/>
      <c r="C1057" s="520"/>
      <c r="D1057" s="520"/>
      <c r="E1057" s="438" t="s">
        <v>634</v>
      </c>
      <c r="F1057" s="438" t="s">
        <v>702</v>
      </c>
      <c r="G1057" s="439">
        <v>259850000.00000003</v>
      </c>
    </row>
    <row r="1058" spans="1:7" ht="15">
      <c r="A1058" s="519"/>
      <c r="B1058" s="520"/>
      <c r="C1058" s="520"/>
      <c r="D1058" s="520"/>
      <c r="E1058" s="520" t="s">
        <v>501</v>
      </c>
      <c r="F1058" s="438" t="s">
        <v>502</v>
      </c>
      <c r="G1058" s="439">
        <v>30002918</v>
      </c>
    </row>
    <row r="1059" spans="1:7" ht="15">
      <c r="A1059" s="519"/>
      <c r="B1059" s="520"/>
      <c r="C1059" s="520"/>
      <c r="D1059" s="520"/>
      <c r="E1059" s="520"/>
      <c r="F1059" s="438" t="s">
        <v>503</v>
      </c>
      <c r="G1059" s="439">
        <v>191698100</v>
      </c>
    </row>
    <row r="1060" spans="1:7" ht="15">
      <c r="A1060" s="519"/>
      <c r="B1060" s="520" t="s">
        <v>518</v>
      </c>
      <c r="C1060" s="520" t="s">
        <v>550</v>
      </c>
      <c r="D1060" s="520" t="s">
        <v>707</v>
      </c>
      <c r="E1060" s="438" t="s">
        <v>708</v>
      </c>
      <c r="F1060" s="438" t="s">
        <v>709</v>
      </c>
      <c r="G1060" s="439">
        <v>2980000</v>
      </c>
    </row>
    <row r="1061" spans="1:7" ht="15">
      <c r="A1061" s="519"/>
      <c r="B1061" s="520"/>
      <c r="C1061" s="520"/>
      <c r="D1061" s="520"/>
      <c r="E1061" s="438" t="s">
        <v>604</v>
      </c>
      <c r="F1061" s="438" t="s">
        <v>605</v>
      </c>
      <c r="G1061" s="439">
        <v>9000000</v>
      </c>
    </row>
    <row r="1062" spans="1:7" ht="15">
      <c r="A1062" s="519"/>
      <c r="B1062" s="520"/>
      <c r="C1062" s="520"/>
      <c r="D1062" s="520"/>
      <c r="E1062" s="438" t="s">
        <v>570</v>
      </c>
      <c r="F1062" s="438" t="s">
        <v>600</v>
      </c>
      <c r="G1062" s="439">
        <v>5966000</v>
      </c>
    </row>
    <row r="1063" spans="1:7" ht="15">
      <c r="A1063" s="519"/>
      <c r="B1063" s="520"/>
      <c r="C1063" s="520"/>
      <c r="D1063" s="520"/>
      <c r="E1063" s="438" t="s">
        <v>499</v>
      </c>
      <c r="F1063" s="438" t="s">
        <v>500</v>
      </c>
      <c r="G1063" s="439">
        <v>1800000</v>
      </c>
    </row>
    <row r="1064" spans="1:7" ht="15">
      <c r="A1064" s="519"/>
      <c r="B1064" s="520"/>
      <c r="C1064" s="520"/>
      <c r="D1064" s="520"/>
      <c r="E1064" s="438" t="s">
        <v>559</v>
      </c>
      <c r="F1064" s="438" t="s">
        <v>560</v>
      </c>
      <c r="G1064" s="439">
        <v>16059999.999999998</v>
      </c>
    </row>
    <row r="1065" spans="1:7" ht="15">
      <c r="A1065" s="519"/>
      <c r="B1065" s="520"/>
      <c r="C1065" s="520"/>
      <c r="D1065" s="520"/>
      <c r="E1065" s="520" t="s">
        <v>574</v>
      </c>
      <c r="F1065" s="438" t="s">
        <v>575</v>
      </c>
      <c r="G1065" s="439">
        <v>153110334</v>
      </c>
    </row>
    <row r="1066" spans="1:7" ht="15">
      <c r="A1066" s="519"/>
      <c r="B1066" s="520"/>
      <c r="C1066" s="520"/>
      <c r="D1066" s="520"/>
      <c r="E1066" s="520"/>
      <c r="F1066" s="438" t="s">
        <v>576</v>
      </c>
      <c r="G1066" s="439">
        <v>109250000</v>
      </c>
    </row>
    <row r="1067" spans="1:7" ht="15">
      <c r="A1067" s="519"/>
      <c r="B1067" s="520"/>
      <c r="C1067" s="520"/>
      <c r="D1067" s="520"/>
      <c r="E1067" s="520"/>
      <c r="F1067" s="438" t="s">
        <v>577</v>
      </c>
      <c r="G1067" s="439">
        <v>18000000</v>
      </c>
    </row>
    <row r="1068" spans="1:7" ht="15">
      <c r="A1068" s="519"/>
      <c r="B1068" s="520"/>
      <c r="C1068" s="520"/>
      <c r="D1068" s="520"/>
      <c r="E1068" s="520"/>
      <c r="F1068" s="438" t="s">
        <v>616</v>
      </c>
      <c r="G1068" s="439">
        <v>4750000</v>
      </c>
    </row>
    <row r="1069" spans="1:7" ht="15">
      <c r="A1069" s="519"/>
      <c r="B1069" s="520"/>
      <c r="C1069" s="520"/>
      <c r="D1069" s="520"/>
      <c r="E1069" s="520"/>
      <c r="F1069" s="438" t="s">
        <v>593</v>
      </c>
      <c r="G1069" s="439">
        <v>99740000</v>
      </c>
    </row>
    <row r="1070" spans="1:7" ht="15">
      <c r="A1070" s="519"/>
      <c r="B1070" s="520"/>
      <c r="C1070" s="520"/>
      <c r="D1070" s="520"/>
      <c r="E1070" s="520"/>
      <c r="F1070" s="438" t="s">
        <v>579</v>
      </c>
      <c r="G1070" s="439">
        <v>509180806</v>
      </c>
    </row>
    <row r="1071" spans="1:7" ht="15">
      <c r="A1071" s="519"/>
      <c r="B1071" s="520"/>
      <c r="C1071" s="520"/>
      <c r="D1071" s="520"/>
      <c r="E1071" s="520" t="s">
        <v>561</v>
      </c>
      <c r="F1071" s="438" t="s">
        <v>563</v>
      </c>
      <c r="G1071" s="439">
        <v>13350000</v>
      </c>
    </row>
    <row r="1072" spans="1:7" ht="15">
      <c r="A1072" s="519"/>
      <c r="B1072" s="520"/>
      <c r="C1072" s="520"/>
      <c r="D1072" s="520"/>
      <c r="E1072" s="520"/>
      <c r="F1072" s="438" t="s">
        <v>611</v>
      </c>
      <c r="G1072" s="439">
        <v>3623400</v>
      </c>
    </row>
    <row r="1073" spans="1:7" ht="15">
      <c r="A1073" s="519"/>
      <c r="B1073" s="520"/>
      <c r="C1073" s="520"/>
      <c r="D1073" s="520"/>
      <c r="E1073" s="438" t="s">
        <v>553</v>
      </c>
      <c r="F1073" s="438" t="s">
        <v>626</v>
      </c>
      <c r="G1073" s="439">
        <v>220559000</v>
      </c>
    </row>
    <row r="1074" spans="1:7" ht="15">
      <c r="A1074" s="519"/>
      <c r="B1074" s="520"/>
      <c r="C1074" s="520"/>
      <c r="D1074" s="520"/>
      <c r="E1074" s="438" t="s">
        <v>634</v>
      </c>
      <c r="F1074" s="438" t="s">
        <v>702</v>
      </c>
      <c r="G1074" s="439">
        <v>529000000</v>
      </c>
    </row>
    <row r="1075" spans="1:7" ht="15">
      <c r="A1075" s="519"/>
      <c r="B1075" s="520"/>
      <c r="C1075" s="520"/>
      <c r="D1075" s="520"/>
      <c r="E1075" s="520" t="s">
        <v>501</v>
      </c>
      <c r="F1075" s="438" t="s">
        <v>502</v>
      </c>
      <c r="G1075" s="439">
        <v>126217900</v>
      </c>
    </row>
    <row r="1076" spans="1:7" ht="15">
      <c r="A1076" s="519"/>
      <c r="B1076" s="520"/>
      <c r="C1076" s="520"/>
      <c r="D1076" s="520"/>
      <c r="E1076" s="520"/>
      <c r="F1076" s="438" t="s">
        <v>503</v>
      </c>
      <c r="G1076" s="439">
        <v>228325200</v>
      </c>
    </row>
    <row r="1077" spans="1:7" ht="15">
      <c r="A1077" s="519"/>
      <c r="B1077" s="520"/>
      <c r="C1077" s="520"/>
      <c r="D1077" s="520"/>
      <c r="E1077" s="520" t="s">
        <v>543</v>
      </c>
      <c r="F1077" s="438" t="s">
        <v>601</v>
      </c>
      <c r="G1077" s="439">
        <v>82500</v>
      </c>
    </row>
    <row r="1078" spans="1:7" ht="15">
      <c r="A1078" s="519"/>
      <c r="B1078" s="520"/>
      <c r="C1078" s="520"/>
      <c r="D1078" s="520"/>
      <c r="E1078" s="520"/>
      <c r="F1078" s="438" t="s">
        <v>544</v>
      </c>
      <c r="G1078" s="439">
        <v>315095100</v>
      </c>
    </row>
    <row r="1079" spans="1:7" ht="15">
      <c r="A1079" s="519"/>
      <c r="B1079" s="520"/>
      <c r="C1079" s="520"/>
      <c r="D1079" s="520" t="s">
        <v>551</v>
      </c>
      <c r="E1079" s="438" t="s">
        <v>499</v>
      </c>
      <c r="F1079" s="438" t="s">
        <v>633</v>
      </c>
      <c r="G1079" s="439">
        <v>4850000</v>
      </c>
    </row>
    <row r="1080" spans="1:7" ht="15">
      <c r="A1080" s="519"/>
      <c r="B1080" s="520"/>
      <c r="C1080" s="520"/>
      <c r="D1080" s="520"/>
      <c r="E1080" s="438" t="s">
        <v>559</v>
      </c>
      <c r="F1080" s="438" t="s">
        <v>560</v>
      </c>
      <c r="G1080" s="439">
        <v>9000000</v>
      </c>
    </row>
    <row r="1081" spans="1:7" ht="15">
      <c r="A1081" s="519"/>
      <c r="B1081" s="520"/>
      <c r="C1081" s="520"/>
      <c r="D1081" s="520"/>
      <c r="E1081" s="520" t="s">
        <v>574</v>
      </c>
      <c r="F1081" s="438" t="s">
        <v>575</v>
      </c>
      <c r="G1081" s="439">
        <v>42207000</v>
      </c>
    </row>
    <row r="1082" spans="1:7" ht="15">
      <c r="A1082" s="519"/>
      <c r="B1082" s="520"/>
      <c r="C1082" s="520"/>
      <c r="D1082" s="520"/>
      <c r="E1082" s="520"/>
      <c r="F1082" s="438" t="s">
        <v>576</v>
      </c>
      <c r="G1082" s="439">
        <v>12900000</v>
      </c>
    </row>
    <row r="1083" spans="1:7" ht="15">
      <c r="A1083" s="519"/>
      <c r="B1083" s="520"/>
      <c r="C1083" s="520"/>
      <c r="D1083" s="520"/>
      <c r="E1083" s="520"/>
      <c r="F1083" s="438" t="s">
        <v>593</v>
      </c>
      <c r="G1083" s="439">
        <v>39100000</v>
      </c>
    </row>
    <row r="1084" spans="1:7" ht="15">
      <c r="A1084" s="519"/>
      <c r="B1084" s="520"/>
      <c r="C1084" s="520"/>
      <c r="D1084" s="520"/>
      <c r="E1084" s="520"/>
      <c r="F1084" s="438" t="s">
        <v>579</v>
      </c>
      <c r="G1084" s="439">
        <v>38860000</v>
      </c>
    </row>
    <row r="1085" spans="1:7" ht="15">
      <c r="A1085" s="519"/>
      <c r="B1085" s="520"/>
      <c r="C1085" s="520"/>
      <c r="D1085" s="520"/>
      <c r="E1085" s="438" t="s">
        <v>634</v>
      </c>
      <c r="F1085" s="438" t="s">
        <v>676</v>
      </c>
      <c r="G1085" s="439">
        <v>41700000</v>
      </c>
    </row>
    <row r="1086" spans="1:7" ht="15">
      <c r="A1086" s="519"/>
      <c r="B1086" s="520"/>
      <c r="C1086" s="520"/>
      <c r="D1086" s="520"/>
      <c r="E1086" s="438" t="s">
        <v>501</v>
      </c>
      <c r="F1086" s="438" t="s">
        <v>502</v>
      </c>
      <c r="G1086" s="439">
        <v>33500000</v>
      </c>
    </row>
    <row r="1087" spans="1:7" ht="15">
      <c r="A1087" s="519"/>
      <c r="B1087" s="520"/>
      <c r="C1087" s="520"/>
      <c r="D1087" s="520" t="s">
        <v>639</v>
      </c>
      <c r="E1087" s="438" t="s">
        <v>604</v>
      </c>
      <c r="F1087" s="438" t="s">
        <v>605</v>
      </c>
      <c r="G1087" s="439">
        <v>8000000</v>
      </c>
    </row>
    <row r="1088" spans="1:7" ht="15">
      <c r="A1088" s="519"/>
      <c r="B1088" s="520"/>
      <c r="C1088" s="520"/>
      <c r="D1088" s="520"/>
      <c r="E1088" s="520" t="s">
        <v>574</v>
      </c>
      <c r="F1088" s="438" t="s">
        <v>575</v>
      </c>
      <c r="G1088" s="439">
        <v>7120000</v>
      </c>
    </row>
    <row r="1089" spans="1:7" ht="15">
      <c r="A1089" s="519"/>
      <c r="B1089" s="520"/>
      <c r="C1089" s="520"/>
      <c r="D1089" s="520"/>
      <c r="E1089" s="520"/>
      <c r="F1089" s="438" t="s">
        <v>576</v>
      </c>
      <c r="G1089" s="439">
        <v>12300000</v>
      </c>
    </row>
    <row r="1090" spans="1:7" ht="15">
      <c r="A1090" s="519"/>
      <c r="B1090" s="520"/>
      <c r="C1090" s="520"/>
      <c r="D1090" s="520"/>
      <c r="E1090" s="520"/>
      <c r="F1090" s="438" t="s">
        <v>593</v>
      </c>
      <c r="G1090" s="439">
        <v>65599999.99999999</v>
      </c>
    </row>
    <row r="1091" spans="1:7" ht="15">
      <c r="A1091" s="519"/>
      <c r="B1091" s="520"/>
      <c r="C1091" s="520"/>
      <c r="D1091" s="520"/>
      <c r="E1091" s="520"/>
      <c r="F1091" s="438" t="s">
        <v>579</v>
      </c>
      <c r="G1091" s="439">
        <v>47780000</v>
      </c>
    </row>
    <row r="1092" spans="1:7" ht="15">
      <c r="A1092" s="519"/>
      <c r="B1092" s="520"/>
      <c r="C1092" s="520"/>
      <c r="D1092" s="520"/>
      <c r="E1092" s="438" t="s">
        <v>634</v>
      </c>
      <c r="F1092" s="438" t="s">
        <v>702</v>
      </c>
      <c r="G1092" s="439">
        <v>278000000</v>
      </c>
    </row>
    <row r="1093" spans="1:7" ht="15">
      <c r="A1093" s="519"/>
      <c r="B1093" s="520"/>
      <c r="C1093" s="520"/>
      <c r="D1093" s="520"/>
      <c r="E1093" s="520" t="s">
        <v>501</v>
      </c>
      <c r="F1093" s="438" t="s">
        <v>502</v>
      </c>
      <c r="G1093" s="439">
        <v>114300000</v>
      </c>
    </row>
    <row r="1094" spans="1:7" ht="15">
      <c r="A1094" s="519"/>
      <c r="B1094" s="520"/>
      <c r="C1094" s="520"/>
      <c r="D1094" s="520"/>
      <c r="E1094" s="520"/>
      <c r="F1094" s="438" t="s">
        <v>503</v>
      </c>
      <c r="G1094" s="439">
        <v>12800000</v>
      </c>
    </row>
    <row r="1095" spans="1:7" ht="15">
      <c r="A1095" s="519" t="s">
        <v>710</v>
      </c>
      <c r="B1095" s="520" t="s">
        <v>572</v>
      </c>
      <c r="C1095" s="520" t="s">
        <v>514</v>
      </c>
      <c r="D1095" s="520" t="s">
        <v>515</v>
      </c>
      <c r="E1095" s="520" t="s">
        <v>574</v>
      </c>
      <c r="F1095" s="438" t="s">
        <v>575</v>
      </c>
      <c r="G1095" s="439">
        <v>88500000</v>
      </c>
    </row>
    <row r="1096" spans="1:7" ht="15">
      <c r="A1096" s="519"/>
      <c r="B1096" s="520"/>
      <c r="C1096" s="520"/>
      <c r="D1096" s="520"/>
      <c r="E1096" s="520"/>
      <c r="F1096" s="438" t="s">
        <v>576</v>
      </c>
      <c r="G1096" s="439">
        <v>58500000</v>
      </c>
    </row>
    <row r="1097" spans="1:7" ht="15">
      <c r="A1097" s="519"/>
      <c r="B1097" s="520"/>
      <c r="C1097" s="520"/>
      <c r="D1097" s="520"/>
      <c r="E1097" s="520"/>
      <c r="F1097" s="438" t="s">
        <v>577</v>
      </c>
      <c r="G1097" s="439">
        <v>49000000</v>
      </c>
    </row>
    <row r="1098" spans="1:7" ht="15">
      <c r="A1098" s="519"/>
      <c r="B1098" s="520"/>
      <c r="C1098" s="520"/>
      <c r="D1098" s="520"/>
      <c r="E1098" s="520"/>
      <c r="F1098" s="438" t="s">
        <v>578</v>
      </c>
      <c r="G1098" s="439">
        <v>118500000</v>
      </c>
    </row>
    <row r="1099" spans="1:7" ht="15">
      <c r="A1099" s="519"/>
      <c r="B1099" s="520"/>
      <c r="C1099" s="520"/>
      <c r="D1099" s="520"/>
      <c r="E1099" s="520"/>
      <c r="F1099" s="438" t="s">
        <v>579</v>
      </c>
      <c r="G1099" s="439">
        <v>340395000</v>
      </c>
    </row>
    <row r="1100" spans="1:7" ht="15">
      <c r="A1100" s="519"/>
      <c r="B1100" s="520"/>
      <c r="C1100" s="520"/>
      <c r="D1100" s="520"/>
      <c r="E1100" s="438" t="s">
        <v>561</v>
      </c>
      <c r="F1100" s="438" t="s">
        <v>563</v>
      </c>
      <c r="G1100" s="439">
        <v>6950000</v>
      </c>
    </row>
    <row r="1101" spans="1:7" ht="15">
      <c r="A1101" s="519"/>
      <c r="B1101" s="520"/>
      <c r="C1101" s="520"/>
      <c r="D1101" s="520"/>
      <c r="E1101" s="438" t="s">
        <v>501</v>
      </c>
      <c r="F1101" s="438" t="s">
        <v>503</v>
      </c>
      <c r="G1101" s="439">
        <v>93750000</v>
      </c>
    </row>
    <row r="1102" spans="1:7" ht="15">
      <c r="A1102" s="519"/>
      <c r="B1102" s="520" t="s">
        <v>608</v>
      </c>
      <c r="C1102" s="520" t="s">
        <v>514</v>
      </c>
      <c r="D1102" s="520" t="s">
        <v>515</v>
      </c>
      <c r="E1102" s="520" t="s">
        <v>574</v>
      </c>
      <c r="F1102" s="438" t="s">
        <v>575</v>
      </c>
      <c r="G1102" s="439">
        <v>10303200</v>
      </c>
    </row>
    <row r="1103" spans="1:7" ht="15">
      <c r="A1103" s="519"/>
      <c r="B1103" s="520"/>
      <c r="C1103" s="520"/>
      <c r="D1103" s="520"/>
      <c r="E1103" s="520"/>
      <c r="F1103" s="438" t="s">
        <v>576</v>
      </c>
      <c r="G1103" s="439">
        <v>15000000</v>
      </c>
    </row>
    <row r="1104" spans="1:7" ht="15">
      <c r="A1104" s="519"/>
      <c r="B1104" s="520"/>
      <c r="C1104" s="520"/>
      <c r="D1104" s="520"/>
      <c r="E1104" s="520"/>
      <c r="F1104" s="438" t="s">
        <v>577</v>
      </c>
      <c r="G1104" s="439">
        <v>50575000</v>
      </c>
    </row>
    <row r="1105" spans="1:7" ht="15">
      <c r="A1105" s="519"/>
      <c r="B1105" s="520"/>
      <c r="C1105" s="520"/>
      <c r="D1105" s="520"/>
      <c r="E1105" s="520"/>
      <c r="F1105" s="438" t="s">
        <v>578</v>
      </c>
      <c r="G1105" s="439">
        <v>35000000</v>
      </c>
    </row>
    <row r="1106" spans="1:7" ht="15">
      <c r="A1106" s="519"/>
      <c r="B1106" s="520"/>
      <c r="C1106" s="520"/>
      <c r="D1106" s="520"/>
      <c r="E1106" s="520"/>
      <c r="F1106" s="438" t="s">
        <v>579</v>
      </c>
      <c r="G1106" s="439">
        <v>141080000</v>
      </c>
    </row>
    <row r="1107" spans="1:7" ht="15">
      <c r="A1107" s="519"/>
      <c r="B1107" s="520" t="s">
        <v>613</v>
      </c>
      <c r="C1107" s="520" t="s">
        <v>497</v>
      </c>
      <c r="D1107" s="520" t="s">
        <v>588</v>
      </c>
      <c r="E1107" s="520" t="s">
        <v>574</v>
      </c>
      <c r="F1107" s="438" t="s">
        <v>575</v>
      </c>
      <c r="G1107" s="439">
        <v>15500000</v>
      </c>
    </row>
    <row r="1108" spans="1:7" ht="15">
      <c r="A1108" s="519"/>
      <c r="B1108" s="520"/>
      <c r="C1108" s="520"/>
      <c r="D1108" s="520"/>
      <c r="E1108" s="520"/>
      <c r="F1108" s="438" t="s">
        <v>576</v>
      </c>
      <c r="G1108" s="439">
        <v>14000000</v>
      </c>
    </row>
    <row r="1109" spans="1:7" ht="15">
      <c r="A1109" s="519"/>
      <c r="B1109" s="520"/>
      <c r="C1109" s="520"/>
      <c r="D1109" s="520"/>
      <c r="E1109" s="520"/>
      <c r="F1109" s="438" t="s">
        <v>603</v>
      </c>
      <c r="G1109" s="439">
        <v>13450000</v>
      </c>
    </row>
    <row r="1110" spans="1:7" ht="15">
      <c r="A1110" s="519"/>
      <c r="B1110" s="520"/>
      <c r="C1110" s="520"/>
      <c r="D1110" s="520"/>
      <c r="E1110" s="520"/>
      <c r="F1110" s="438" t="s">
        <v>577</v>
      </c>
      <c r="G1110" s="439">
        <v>21200000</v>
      </c>
    </row>
    <row r="1111" spans="1:7" ht="15">
      <c r="A1111" s="519"/>
      <c r="B1111" s="520"/>
      <c r="C1111" s="520"/>
      <c r="D1111" s="520"/>
      <c r="E1111" s="520"/>
      <c r="F1111" s="438" t="s">
        <v>578</v>
      </c>
      <c r="G1111" s="439">
        <v>42000000</v>
      </c>
    </row>
    <row r="1112" spans="1:7" ht="15">
      <c r="A1112" s="519"/>
      <c r="B1112" s="520"/>
      <c r="C1112" s="520"/>
      <c r="D1112" s="520"/>
      <c r="E1112" s="520"/>
      <c r="F1112" s="438" t="s">
        <v>593</v>
      </c>
      <c r="G1112" s="439">
        <v>14820000</v>
      </c>
    </row>
    <row r="1113" spans="1:7" ht="15">
      <c r="A1113" s="519"/>
      <c r="B1113" s="520"/>
      <c r="C1113" s="520"/>
      <c r="D1113" s="520"/>
      <c r="E1113" s="520"/>
      <c r="F1113" s="438" t="s">
        <v>579</v>
      </c>
      <c r="G1113" s="439">
        <v>81430000</v>
      </c>
    </row>
    <row r="1114" spans="1:7" ht="15">
      <c r="A1114" s="519"/>
      <c r="B1114" s="520" t="s">
        <v>504</v>
      </c>
      <c r="C1114" s="520" t="s">
        <v>580</v>
      </c>
      <c r="D1114" s="520" t="s">
        <v>581</v>
      </c>
      <c r="E1114" s="520" t="s">
        <v>574</v>
      </c>
      <c r="F1114" s="438" t="s">
        <v>575</v>
      </c>
      <c r="G1114" s="439">
        <v>61847000</v>
      </c>
    </row>
    <row r="1115" spans="1:7" ht="15">
      <c r="A1115" s="519"/>
      <c r="B1115" s="520"/>
      <c r="C1115" s="520"/>
      <c r="D1115" s="520"/>
      <c r="E1115" s="520"/>
      <c r="F1115" s="438" t="s">
        <v>576</v>
      </c>
      <c r="G1115" s="439">
        <v>35200000</v>
      </c>
    </row>
    <row r="1116" spans="1:7" ht="15">
      <c r="A1116" s="519"/>
      <c r="B1116" s="520"/>
      <c r="C1116" s="520"/>
      <c r="D1116" s="520"/>
      <c r="E1116" s="520"/>
      <c r="F1116" s="438" t="s">
        <v>578</v>
      </c>
      <c r="G1116" s="439">
        <v>6600000</v>
      </c>
    </row>
    <row r="1117" spans="1:7" ht="15">
      <c r="A1117" s="519"/>
      <c r="B1117" s="520"/>
      <c r="C1117" s="520"/>
      <c r="D1117" s="520"/>
      <c r="E1117" s="520"/>
      <c r="F1117" s="438" t="s">
        <v>616</v>
      </c>
      <c r="G1117" s="439">
        <v>30800000</v>
      </c>
    </row>
    <row r="1118" spans="1:7" ht="15">
      <c r="A1118" s="519"/>
      <c r="B1118" s="520"/>
      <c r="C1118" s="520"/>
      <c r="D1118" s="520"/>
      <c r="E1118" s="520"/>
      <c r="F1118" s="438" t="s">
        <v>593</v>
      </c>
      <c r="G1118" s="439">
        <v>117520000</v>
      </c>
    </row>
    <row r="1119" spans="1:7" ht="15">
      <c r="A1119" s="519"/>
      <c r="B1119" s="520"/>
      <c r="C1119" s="520"/>
      <c r="D1119" s="520"/>
      <c r="E1119" s="520"/>
      <c r="F1119" s="438" t="s">
        <v>579</v>
      </c>
      <c r="G1119" s="439">
        <v>124870000</v>
      </c>
    </row>
    <row r="1120" spans="1:7" ht="15">
      <c r="A1120" s="519"/>
      <c r="B1120" s="520" t="s">
        <v>682</v>
      </c>
      <c r="C1120" s="520" t="s">
        <v>497</v>
      </c>
      <c r="D1120" s="520" t="s">
        <v>588</v>
      </c>
      <c r="E1120" s="520" t="s">
        <v>574</v>
      </c>
      <c r="F1120" s="438" t="s">
        <v>575</v>
      </c>
      <c r="G1120" s="439">
        <v>38685000</v>
      </c>
    </row>
    <row r="1121" spans="1:7" ht="15">
      <c r="A1121" s="519"/>
      <c r="B1121" s="520"/>
      <c r="C1121" s="520"/>
      <c r="D1121" s="520"/>
      <c r="E1121" s="520"/>
      <c r="F1121" s="438" t="s">
        <v>576</v>
      </c>
      <c r="G1121" s="439">
        <v>34800000</v>
      </c>
    </row>
    <row r="1122" spans="1:7" ht="15">
      <c r="A1122" s="519"/>
      <c r="B1122" s="520"/>
      <c r="C1122" s="520"/>
      <c r="D1122" s="520"/>
      <c r="E1122" s="520"/>
      <c r="F1122" s="438" t="s">
        <v>603</v>
      </c>
      <c r="G1122" s="439">
        <v>17445000</v>
      </c>
    </row>
    <row r="1123" spans="1:7" ht="15">
      <c r="A1123" s="519"/>
      <c r="B1123" s="520"/>
      <c r="C1123" s="520"/>
      <c r="D1123" s="520"/>
      <c r="E1123" s="520"/>
      <c r="F1123" s="438" t="s">
        <v>577</v>
      </c>
      <c r="G1123" s="439">
        <v>20100000</v>
      </c>
    </row>
    <row r="1124" spans="1:7" ht="15">
      <c r="A1124" s="519"/>
      <c r="B1124" s="520"/>
      <c r="C1124" s="520"/>
      <c r="D1124" s="520"/>
      <c r="E1124" s="520"/>
      <c r="F1124" s="438" t="s">
        <v>578</v>
      </c>
      <c r="G1124" s="439">
        <v>15200000</v>
      </c>
    </row>
    <row r="1125" spans="1:7" ht="15">
      <c r="A1125" s="519"/>
      <c r="B1125" s="520"/>
      <c r="C1125" s="520"/>
      <c r="D1125" s="520"/>
      <c r="E1125" s="520"/>
      <c r="F1125" s="438" t="s">
        <v>616</v>
      </c>
      <c r="G1125" s="439">
        <v>8400000</v>
      </c>
    </row>
    <row r="1126" spans="1:7" ht="15">
      <c r="A1126" s="519"/>
      <c r="B1126" s="520"/>
      <c r="C1126" s="520"/>
      <c r="D1126" s="520"/>
      <c r="E1126" s="520"/>
      <c r="F1126" s="438" t="s">
        <v>593</v>
      </c>
      <c r="G1126" s="439">
        <v>77220000</v>
      </c>
    </row>
    <row r="1127" spans="1:7" ht="15">
      <c r="A1127" s="519"/>
      <c r="B1127" s="520"/>
      <c r="C1127" s="520"/>
      <c r="D1127" s="520"/>
      <c r="E1127" s="520"/>
      <c r="F1127" s="438" t="s">
        <v>579</v>
      </c>
      <c r="G1127" s="439">
        <v>158104000</v>
      </c>
    </row>
    <row r="1128" spans="1:7" ht="15">
      <c r="A1128" s="519"/>
      <c r="B1128" s="520"/>
      <c r="C1128" s="520" t="s">
        <v>514</v>
      </c>
      <c r="D1128" s="520" t="s">
        <v>610</v>
      </c>
      <c r="E1128" s="438" t="s">
        <v>711</v>
      </c>
      <c r="F1128" s="438" t="s">
        <v>712</v>
      </c>
      <c r="G1128" s="439">
        <v>11400000</v>
      </c>
    </row>
    <row r="1129" spans="1:7" ht="15">
      <c r="A1129" s="519"/>
      <c r="B1129" s="520"/>
      <c r="C1129" s="520"/>
      <c r="D1129" s="520"/>
      <c r="E1129" s="438" t="s">
        <v>499</v>
      </c>
      <c r="F1129" s="438" t="s">
        <v>500</v>
      </c>
      <c r="G1129" s="439">
        <v>1900000</v>
      </c>
    </row>
    <row r="1130" spans="1:7" ht="15">
      <c r="A1130" s="519"/>
      <c r="B1130" s="520"/>
      <c r="C1130" s="520"/>
      <c r="D1130" s="520"/>
      <c r="E1130" s="520" t="s">
        <v>574</v>
      </c>
      <c r="F1130" s="438" t="s">
        <v>575</v>
      </c>
      <c r="G1130" s="439">
        <v>155255000</v>
      </c>
    </row>
    <row r="1131" spans="1:7" ht="15">
      <c r="A1131" s="519"/>
      <c r="B1131" s="520"/>
      <c r="C1131" s="520"/>
      <c r="D1131" s="520"/>
      <c r="E1131" s="520"/>
      <c r="F1131" s="438" t="s">
        <v>576</v>
      </c>
      <c r="G1131" s="439">
        <v>110090000</v>
      </c>
    </row>
    <row r="1132" spans="1:7" ht="15">
      <c r="A1132" s="519"/>
      <c r="B1132" s="520"/>
      <c r="C1132" s="520"/>
      <c r="D1132" s="520"/>
      <c r="E1132" s="520"/>
      <c r="F1132" s="438" t="s">
        <v>603</v>
      </c>
      <c r="G1132" s="439">
        <v>32250000</v>
      </c>
    </row>
    <row r="1133" spans="1:7" ht="15">
      <c r="A1133" s="519"/>
      <c r="B1133" s="520"/>
      <c r="C1133" s="520"/>
      <c r="D1133" s="520"/>
      <c r="E1133" s="520"/>
      <c r="F1133" s="438" t="s">
        <v>578</v>
      </c>
      <c r="G1133" s="439">
        <v>11100000</v>
      </c>
    </row>
    <row r="1134" spans="1:7" ht="15">
      <c r="A1134" s="519"/>
      <c r="B1134" s="520"/>
      <c r="C1134" s="520"/>
      <c r="D1134" s="520"/>
      <c r="E1134" s="520"/>
      <c r="F1134" s="438" t="s">
        <v>616</v>
      </c>
      <c r="G1134" s="439">
        <v>21780000</v>
      </c>
    </row>
    <row r="1135" spans="1:7" ht="15">
      <c r="A1135" s="519"/>
      <c r="B1135" s="520"/>
      <c r="C1135" s="520"/>
      <c r="D1135" s="520"/>
      <c r="E1135" s="520"/>
      <c r="F1135" s="438" t="s">
        <v>593</v>
      </c>
      <c r="G1135" s="439">
        <v>492730000</v>
      </c>
    </row>
    <row r="1136" spans="1:7" ht="15">
      <c r="A1136" s="519"/>
      <c r="B1136" s="520"/>
      <c r="C1136" s="520"/>
      <c r="D1136" s="520"/>
      <c r="E1136" s="520"/>
      <c r="F1136" s="438" t="s">
        <v>579</v>
      </c>
      <c r="G1136" s="439">
        <v>553543000</v>
      </c>
    </row>
    <row r="1137" spans="1:7" ht="15">
      <c r="A1137" s="519"/>
      <c r="B1137" s="520"/>
      <c r="C1137" s="520"/>
      <c r="D1137" s="520"/>
      <c r="E1137" s="438" t="s">
        <v>561</v>
      </c>
      <c r="F1137" s="438" t="s">
        <v>562</v>
      </c>
      <c r="G1137" s="439">
        <v>9747000</v>
      </c>
    </row>
    <row r="1138" spans="1:7" ht="15">
      <c r="A1138" s="519"/>
      <c r="B1138" s="520"/>
      <c r="C1138" s="520"/>
      <c r="D1138" s="520"/>
      <c r="E1138" s="520" t="s">
        <v>565</v>
      </c>
      <c r="F1138" s="438" t="s">
        <v>566</v>
      </c>
      <c r="G1138" s="439">
        <v>750000</v>
      </c>
    </row>
    <row r="1139" spans="1:7" ht="15">
      <c r="A1139" s="519"/>
      <c r="B1139" s="520"/>
      <c r="C1139" s="520"/>
      <c r="D1139" s="520"/>
      <c r="E1139" s="520"/>
      <c r="F1139" s="438" t="s">
        <v>582</v>
      </c>
      <c r="G1139" s="439">
        <v>17150000</v>
      </c>
    </row>
    <row r="1140" spans="1:7" ht="15">
      <c r="A1140" s="519"/>
      <c r="B1140" s="520"/>
      <c r="C1140" s="520"/>
      <c r="D1140" s="520"/>
      <c r="E1140" s="520"/>
      <c r="F1140" s="438" t="s">
        <v>583</v>
      </c>
      <c r="G1140" s="439">
        <v>800000</v>
      </c>
    </row>
    <row r="1141" spans="1:7" ht="15">
      <c r="A1141" s="519"/>
      <c r="B1141" s="520"/>
      <c r="C1141" s="520"/>
      <c r="D1141" s="520"/>
      <c r="E1141" s="520" t="s">
        <v>501</v>
      </c>
      <c r="F1141" s="438" t="s">
        <v>502</v>
      </c>
      <c r="G1141" s="439">
        <v>35660000</v>
      </c>
    </row>
    <row r="1142" spans="1:7" ht="15">
      <c r="A1142" s="519"/>
      <c r="B1142" s="520"/>
      <c r="C1142" s="520"/>
      <c r="D1142" s="520"/>
      <c r="E1142" s="520"/>
      <c r="F1142" s="438" t="s">
        <v>503</v>
      </c>
      <c r="G1142" s="439">
        <v>99399000</v>
      </c>
    </row>
    <row r="1143" spans="1:7" ht="15">
      <c r="A1143" s="519"/>
      <c r="B1143" s="520"/>
      <c r="C1143" s="520"/>
      <c r="D1143" s="520"/>
      <c r="E1143" s="438" t="s">
        <v>543</v>
      </c>
      <c r="F1143" s="438" t="s">
        <v>544</v>
      </c>
      <c r="G1143" s="439">
        <v>86440000</v>
      </c>
    </row>
    <row r="1144" spans="1:7" ht="15">
      <c r="A1144" s="519" t="s">
        <v>713</v>
      </c>
      <c r="B1144" s="520" t="s">
        <v>608</v>
      </c>
      <c r="C1144" s="520" t="s">
        <v>514</v>
      </c>
      <c r="D1144" s="520" t="s">
        <v>515</v>
      </c>
      <c r="E1144" s="520" t="s">
        <v>574</v>
      </c>
      <c r="F1144" s="438" t="s">
        <v>575</v>
      </c>
      <c r="G1144" s="439">
        <v>7030800</v>
      </c>
    </row>
    <row r="1145" spans="1:7" ht="15">
      <c r="A1145" s="519"/>
      <c r="B1145" s="520"/>
      <c r="C1145" s="520"/>
      <c r="D1145" s="520"/>
      <c r="E1145" s="520"/>
      <c r="F1145" s="438" t="s">
        <v>576</v>
      </c>
      <c r="G1145" s="439">
        <v>8800000</v>
      </c>
    </row>
    <row r="1146" spans="1:7" ht="15">
      <c r="A1146" s="519"/>
      <c r="B1146" s="520"/>
      <c r="C1146" s="520"/>
      <c r="D1146" s="520"/>
      <c r="E1146" s="520"/>
      <c r="F1146" s="438" t="s">
        <v>577</v>
      </c>
      <c r="G1146" s="439">
        <v>25900000</v>
      </c>
    </row>
    <row r="1147" spans="1:7" ht="15">
      <c r="A1147" s="519"/>
      <c r="B1147" s="520"/>
      <c r="C1147" s="520"/>
      <c r="D1147" s="520"/>
      <c r="E1147" s="520"/>
      <c r="F1147" s="438" t="s">
        <v>578</v>
      </c>
      <c r="G1147" s="439">
        <v>14000000</v>
      </c>
    </row>
    <row r="1148" spans="1:7" ht="15">
      <c r="A1148" s="519"/>
      <c r="B1148" s="520"/>
      <c r="C1148" s="520"/>
      <c r="D1148" s="520"/>
      <c r="E1148" s="520"/>
      <c r="F1148" s="438" t="s">
        <v>579</v>
      </c>
      <c r="G1148" s="439">
        <v>46340000</v>
      </c>
    </row>
    <row r="1149" spans="1:7" ht="15">
      <c r="A1149" s="519"/>
      <c r="B1149" s="520"/>
      <c r="C1149" s="520"/>
      <c r="D1149" s="520"/>
      <c r="E1149" s="520" t="s">
        <v>561</v>
      </c>
      <c r="F1149" s="438" t="s">
        <v>563</v>
      </c>
      <c r="G1149" s="439">
        <v>47973408</v>
      </c>
    </row>
    <row r="1150" spans="1:7" ht="15">
      <c r="A1150" s="519"/>
      <c r="B1150" s="520"/>
      <c r="C1150" s="520"/>
      <c r="D1150" s="520"/>
      <c r="E1150" s="520"/>
      <c r="F1150" s="438" t="s">
        <v>564</v>
      </c>
      <c r="G1150" s="439">
        <v>71466000</v>
      </c>
    </row>
    <row r="1151" spans="1:7" ht="15">
      <c r="A1151" s="519"/>
      <c r="B1151" s="520"/>
      <c r="C1151" s="520"/>
      <c r="D1151" s="520"/>
      <c r="E1151" s="438" t="s">
        <v>565</v>
      </c>
      <c r="F1151" s="438" t="s">
        <v>566</v>
      </c>
      <c r="G1151" s="439">
        <v>55000000</v>
      </c>
    </row>
    <row r="1152" spans="1:7" ht="15">
      <c r="A1152" s="519"/>
      <c r="B1152" s="520"/>
      <c r="C1152" s="520"/>
      <c r="D1152" s="520"/>
      <c r="E1152" s="438" t="s">
        <v>543</v>
      </c>
      <c r="F1152" s="438" t="s">
        <v>544</v>
      </c>
      <c r="G1152" s="439">
        <v>19246000</v>
      </c>
    </row>
    <row r="1153" spans="1:7" ht="15">
      <c r="A1153" s="519"/>
      <c r="B1153" s="520" t="s">
        <v>504</v>
      </c>
      <c r="C1153" s="520" t="s">
        <v>497</v>
      </c>
      <c r="D1153" s="520" t="s">
        <v>498</v>
      </c>
      <c r="E1153" s="520" t="s">
        <v>565</v>
      </c>
      <c r="F1153" s="438" t="s">
        <v>566</v>
      </c>
      <c r="G1153" s="439">
        <v>6000000</v>
      </c>
    </row>
    <row r="1154" spans="1:7" ht="15">
      <c r="A1154" s="519"/>
      <c r="B1154" s="520"/>
      <c r="C1154" s="520"/>
      <c r="D1154" s="520"/>
      <c r="E1154" s="520"/>
      <c r="F1154" s="438" t="s">
        <v>583</v>
      </c>
      <c r="G1154" s="439">
        <v>4000000</v>
      </c>
    </row>
    <row r="1155" spans="1:7" ht="15">
      <c r="A1155" s="519"/>
      <c r="B1155" s="520"/>
      <c r="C1155" s="520"/>
      <c r="D1155" s="520"/>
      <c r="E1155" s="438" t="s">
        <v>501</v>
      </c>
      <c r="F1155" s="438" t="s">
        <v>503</v>
      </c>
      <c r="G1155" s="439">
        <v>52000000</v>
      </c>
    </row>
    <row r="1156" spans="1:7" ht="15">
      <c r="A1156" s="519"/>
      <c r="B1156" s="520"/>
      <c r="C1156" s="520"/>
      <c r="D1156" s="520" t="s">
        <v>588</v>
      </c>
      <c r="E1156" s="438" t="s">
        <v>559</v>
      </c>
      <c r="F1156" s="438" t="s">
        <v>560</v>
      </c>
      <c r="G1156" s="439">
        <v>78140000</v>
      </c>
    </row>
    <row r="1157" spans="1:7" ht="15">
      <c r="A1157" s="519"/>
      <c r="B1157" s="520"/>
      <c r="C1157" s="520"/>
      <c r="D1157" s="520"/>
      <c r="E1157" s="520" t="s">
        <v>574</v>
      </c>
      <c r="F1157" s="438" t="s">
        <v>575</v>
      </c>
      <c r="G1157" s="439">
        <v>14600000</v>
      </c>
    </row>
    <row r="1158" spans="1:7" ht="15">
      <c r="A1158" s="519"/>
      <c r="B1158" s="520"/>
      <c r="C1158" s="520"/>
      <c r="D1158" s="520"/>
      <c r="E1158" s="520"/>
      <c r="F1158" s="438" t="s">
        <v>576</v>
      </c>
      <c r="G1158" s="439">
        <v>12800000</v>
      </c>
    </row>
    <row r="1159" spans="1:7" ht="15">
      <c r="A1159" s="519"/>
      <c r="B1159" s="520"/>
      <c r="C1159" s="520"/>
      <c r="D1159" s="520"/>
      <c r="E1159" s="520"/>
      <c r="F1159" s="438" t="s">
        <v>578</v>
      </c>
      <c r="G1159" s="439">
        <v>12500000</v>
      </c>
    </row>
    <row r="1160" spans="1:7" ht="15">
      <c r="A1160" s="519"/>
      <c r="B1160" s="520"/>
      <c r="C1160" s="520"/>
      <c r="D1160" s="520"/>
      <c r="E1160" s="520"/>
      <c r="F1160" s="438" t="s">
        <v>616</v>
      </c>
      <c r="G1160" s="439">
        <v>15620000</v>
      </c>
    </row>
    <row r="1161" spans="1:7" ht="15">
      <c r="A1161" s="519"/>
      <c r="B1161" s="520"/>
      <c r="C1161" s="520"/>
      <c r="D1161" s="520"/>
      <c r="E1161" s="520"/>
      <c r="F1161" s="438" t="s">
        <v>579</v>
      </c>
      <c r="G1161" s="439">
        <v>69370000</v>
      </c>
    </row>
    <row r="1162" spans="1:7" ht="15">
      <c r="A1162" s="519"/>
      <c r="B1162" s="520"/>
      <c r="C1162" s="520"/>
      <c r="D1162" s="520"/>
      <c r="E1162" s="438" t="s">
        <v>561</v>
      </c>
      <c r="F1162" s="438" t="s">
        <v>563</v>
      </c>
      <c r="G1162" s="439">
        <v>540000</v>
      </c>
    </row>
    <row r="1163" spans="1:7" ht="15">
      <c r="A1163" s="519"/>
      <c r="B1163" s="520"/>
      <c r="C1163" s="520"/>
      <c r="D1163" s="520"/>
      <c r="E1163" s="438" t="s">
        <v>565</v>
      </c>
      <c r="F1163" s="438" t="s">
        <v>566</v>
      </c>
      <c r="G1163" s="439">
        <v>800000</v>
      </c>
    </row>
    <row r="1164" spans="1:7" ht="15">
      <c r="A1164" s="519"/>
      <c r="B1164" s="520"/>
      <c r="C1164" s="520"/>
      <c r="D1164" s="520"/>
      <c r="E1164" s="438" t="s">
        <v>501</v>
      </c>
      <c r="F1164" s="438" t="s">
        <v>503</v>
      </c>
      <c r="G1164" s="439">
        <v>49000000</v>
      </c>
    </row>
    <row r="1165" spans="1:7" ht="15">
      <c r="A1165" s="519"/>
      <c r="B1165" s="520"/>
      <c r="C1165" s="520"/>
      <c r="D1165" s="520"/>
      <c r="E1165" s="438" t="s">
        <v>543</v>
      </c>
      <c r="F1165" s="438" t="s">
        <v>544</v>
      </c>
      <c r="G1165" s="439">
        <v>83000000</v>
      </c>
    </row>
    <row r="1166" spans="1:7" ht="15">
      <c r="A1166" s="519"/>
      <c r="B1166" s="520"/>
      <c r="C1166" s="520" t="s">
        <v>514</v>
      </c>
      <c r="D1166" s="520" t="s">
        <v>515</v>
      </c>
      <c r="E1166" s="520" t="s">
        <v>574</v>
      </c>
      <c r="F1166" s="438" t="s">
        <v>575</v>
      </c>
      <c r="G1166" s="439">
        <v>17627000</v>
      </c>
    </row>
    <row r="1167" spans="1:7" ht="15">
      <c r="A1167" s="519"/>
      <c r="B1167" s="520"/>
      <c r="C1167" s="520"/>
      <c r="D1167" s="520"/>
      <c r="E1167" s="520"/>
      <c r="F1167" s="438" t="s">
        <v>576</v>
      </c>
      <c r="G1167" s="439">
        <v>11200000</v>
      </c>
    </row>
    <row r="1168" spans="1:7" ht="15">
      <c r="A1168" s="519"/>
      <c r="B1168" s="520"/>
      <c r="C1168" s="520"/>
      <c r="D1168" s="520"/>
      <c r="E1168" s="520"/>
      <c r="F1168" s="438" t="s">
        <v>578</v>
      </c>
      <c r="G1168" s="439">
        <v>6400000</v>
      </c>
    </row>
    <row r="1169" spans="1:7" ht="15">
      <c r="A1169" s="519"/>
      <c r="B1169" s="520"/>
      <c r="C1169" s="520"/>
      <c r="D1169" s="520"/>
      <c r="E1169" s="520"/>
      <c r="F1169" s="438" t="s">
        <v>616</v>
      </c>
      <c r="G1169" s="439">
        <v>3700000</v>
      </c>
    </row>
    <row r="1170" spans="1:7" ht="15">
      <c r="A1170" s="519"/>
      <c r="B1170" s="520"/>
      <c r="C1170" s="520"/>
      <c r="D1170" s="520"/>
      <c r="E1170" s="520"/>
      <c r="F1170" s="438" t="s">
        <v>593</v>
      </c>
      <c r="G1170" s="439">
        <v>69810000</v>
      </c>
    </row>
    <row r="1171" spans="1:7" ht="15">
      <c r="A1171" s="519"/>
      <c r="B1171" s="520"/>
      <c r="C1171" s="520"/>
      <c r="D1171" s="520"/>
      <c r="E1171" s="520"/>
      <c r="F1171" s="438" t="s">
        <v>579</v>
      </c>
      <c r="G1171" s="439">
        <v>46960000</v>
      </c>
    </row>
    <row r="1172" spans="1:7" ht="15">
      <c r="A1172" s="519"/>
      <c r="B1172" s="520"/>
      <c r="C1172" s="520"/>
      <c r="D1172" s="520"/>
      <c r="E1172" s="438" t="s">
        <v>561</v>
      </c>
      <c r="F1172" s="438" t="s">
        <v>563</v>
      </c>
      <c r="G1172" s="439">
        <v>1680000</v>
      </c>
    </row>
    <row r="1173" spans="1:7" ht="15">
      <c r="A1173" s="519"/>
      <c r="B1173" s="520"/>
      <c r="C1173" s="520"/>
      <c r="D1173" s="520"/>
      <c r="E1173" s="438" t="s">
        <v>565</v>
      </c>
      <c r="F1173" s="438" t="s">
        <v>566</v>
      </c>
      <c r="G1173" s="439">
        <v>9100000</v>
      </c>
    </row>
    <row r="1174" spans="1:7" ht="15">
      <c r="A1174" s="519"/>
      <c r="B1174" s="520"/>
      <c r="C1174" s="520"/>
      <c r="D1174" s="520"/>
      <c r="E1174" s="438" t="s">
        <v>501</v>
      </c>
      <c r="F1174" s="438" t="s">
        <v>503</v>
      </c>
      <c r="G1174" s="439">
        <v>80000000</v>
      </c>
    </row>
    <row r="1175" spans="1:7" ht="15">
      <c r="A1175" s="519"/>
      <c r="B1175" s="520"/>
      <c r="C1175" s="520"/>
      <c r="D1175" s="520"/>
      <c r="E1175" s="438" t="s">
        <v>543</v>
      </c>
      <c r="F1175" s="438" t="s">
        <v>601</v>
      </c>
      <c r="G1175" s="439">
        <v>6600</v>
      </c>
    </row>
    <row r="1176" spans="1:7" ht="15">
      <c r="A1176" s="519"/>
      <c r="B1176" s="520" t="s">
        <v>508</v>
      </c>
      <c r="C1176" s="520" t="s">
        <v>514</v>
      </c>
      <c r="D1176" s="520" t="s">
        <v>515</v>
      </c>
      <c r="E1176" s="438" t="s">
        <v>499</v>
      </c>
      <c r="F1176" s="438" t="s">
        <v>500</v>
      </c>
      <c r="G1176" s="439">
        <v>1920000</v>
      </c>
    </row>
    <row r="1177" spans="1:7" ht="15">
      <c r="A1177" s="519"/>
      <c r="B1177" s="520"/>
      <c r="C1177" s="520"/>
      <c r="D1177" s="520"/>
      <c r="E1177" s="438" t="s">
        <v>559</v>
      </c>
      <c r="F1177" s="438" t="s">
        <v>560</v>
      </c>
      <c r="G1177" s="439">
        <v>1400000</v>
      </c>
    </row>
    <row r="1178" spans="1:7" ht="15">
      <c r="A1178" s="519"/>
      <c r="B1178" s="520"/>
      <c r="C1178" s="520"/>
      <c r="D1178" s="520"/>
      <c r="E1178" s="520" t="s">
        <v>574</v>
      </c>
      <c r="F1178" s="438" t="s">
        <v>575</v>
      </c>
      <c r="G1178" s="439">
        <v>5320000</v>
      </c>
    </row>
    <row r="1179" spans="1:7" ht="15">
      <c r="A1179" s="519"/>
      <c r="B1179" s="520"/>
      <c r="C1179" s="520"/>
      <c r="D1179" s="520"/>
      <c r="E1179" s="520"/>
      <c r="F1179" s="438" t="s">
        <v>576</v>
      </c>
      <c r="G1179" s="439">
        <v>2000000</v>
      </c>
    </row>
    <row r="1180" spans="1:7" ht="15">
      <c r="A1180" s="519"/>
      <c r="B1180" s="520"/>
      <c r="C1180" s="520"/>
      <c r="D1180" s="520"/>
      <c r="E1180" s="520"/>
      <c r="F1180" s="438" t="s">
        <v>593</v>
      </c>
      <c r="G1180" s="439">
        <v>43160000</v>
      </c>
    </row>
    <row r="1181" spans="1:7" ht="15">
      <c r="A1181" s="519"/>
      <c r="B1181" s="520"/>
      <c r="C1181" s="520"/>
      <c r="D1181" s="520"/>
      <c r="E1181" s="520"/>
      <c r="F1181" s="438" t="s">
        <v>579</v>
      </c>
      <c r="G1181" s="439">
        <v>22200000</v>
      </c>
    </row>
    <row r="1182" spans="1:7" ht="15.75" customHeight="1">
      <c r="A1182" s="524" t="s">
        <v>714</v>
      </c>
      <c r="B1182" s="520" t="s">
        <v>599</v>
      </c>
      <c r="C1182" s="520" t="s">
        <v>497</v>
      </c>
      <c r="D1182" s="520" t="s">
        <v>498</v>
      </c>
      <c r="E1182" s="438" t="s">
        <v>570</v>
      </c>
      <c r="F1182" s="438" t="s">
        <v>600</v>
      </c>
      <c r="G1182" s="439">
        <v>2827000</v>
      </c>
    </row>
    <row r="1183" spans="1:7" ht="15">
      <c r="A1183" s="525"/>
      <c r="B1183" s="520"/>
      <c r="C1183" s="520"/>
      <c r="D1183" s="520"/>
      <c r="E1183" s="438" t="s">
        <v>561</v>
      </c>
      <c r="F1183" s="438" t="s">
        <v>563</v>
      </c>
      <c r="G1183" s="439">
        <v>1350000</v>
      </c>
    </row>
    <row r="1184" spans="1:7" ht="15">
      <c r="A1184" s="525"/>
      <c r="B1184" s="520" t="s">
        <v>715</v>
      </c>
      <c r="C1184" s="520" t="s">
        <v>497</v>
      </c>
      <c r="D1184" s="520" t="s">
        <v>588</v>
      </c>
      <c r="E1184" s="520" t="s">
        <v>574</v>
      </c>
      <c r="F1184" s="438" t="s">
        <v>575</v>
      </c>
      <c r="G1184" s="439">
        <v>124540000</v>
      </c>
    </row>
    <row r="1185" spans="1:7" ht="15">
      <c r="A1185" s="525"/>
      <c r="B1185" s="520"/>
      <c r="C1185" s="520"/>
      <c r="D1185" s="520"/>
      <c r="E1185" s="520"/>
      <c r="F1185" s="438" t="s">
        <v>576</v>
      </c>
      <c r="G1185" s="439">
        <v>47500000</v>
      </c>
    </row>
    <row r="1186" spans="1:7" ht="15">
      <c r="A1186" s="525"/>
      <c r="B1186" s="520"/>
      <c r="C1186" s="520"/>
      <c r="D1186" s="520"/>
      <c r="E1186" s="520"/>
      <c r="F1186" s="438" t="s">
        <v>603</v>
      </c>
      <c r="G1186" s="439">
        <v>133479999.99999999</v>
      </c>
    </row>
    <row r="1187" spans="1:7" ht="15">
      <c r="A1187" s="525"/>
      <c r="B1187" s="520"/>
      <c r="C1187" s="520"/>
      <c r="D1187" s="520"/>
      <c r="E1187" s="520"/>
      <c r="F1187" s="438" t="s">
        <v>578</v>
      </c>
      <c r="G1187" s="439">
        <v>94300000</v>
      </c>
    </row>
    <row r="1188" spans="1:7" ht="15">
      <c r="A1188" s="525"/>
      <c r="B1188" s="520"/>
      <c r="C1188" s="520"/>
      <c r="D1188" s="520"/>
      <c r="E1188" s="520"/>
      <c r="F1188" s="438" t="s">
        <v>616</v>
      </c>
      <c r="G1188" s="439">
        <v>6840000</v>
      </c>
    </row>
    <row r="1189" spans="1:7" ht="15">
      <c r="A1189" s="525"/>
      <c r="B1189" s="520"/>
      <c r="C1189" s="520"/>
      <c r="D1189" s="520"/>
      <c r="E1189" s="520"/>
      <c r="F1189" s="438" t="s">
        <v>593</v>
      </c>
      <c r="G1189" s="439">
        <v>232684000</v>
      </c>
    </row>
    <row r="1190" spans="1:7" ht="15">
      <c r="A1190" s="525"/>
      <c r="B1190" s="520"/>
      <c r="C1190" s="520"/>
      <c r="D1190" s="520"/>
      <c r="E1190" s="520"/>
      <c r="F1190" s="438" t="s">
        <v>579</v>
      </c>
      <c r="G1190" s="439">
        <v>161028000</v>
      </c>
    </row>
    <row r="1191" spans="1:7" ht="15">
      <c r="A1191" s="525"/>
      <c r="B1191" s="520"/>
      <c r="C1191" s="520"/>
      <c r="D1191" s="520"/>
      <c r="E1191" s="520" t="s">
        <v>561</v>
      </c>
      <c r="F1191" s="438" t="s">
        <v>563</v>
      </c>
      <c r="G1191" s="439">
        <v>30420000</v>
      </c>
    </row>
    <row r="1192" spans="1:7" ht="15">
      <c r="A1192" s="525"/>
      <c r="B1192" s="520"/>
      <c r="C1192" s="520"/>
      <c r="D1192" s="520"/>
      <c r="E1192" s="520"/>
      <c r="F1192" s="438" t="s">
        <v>564</v>
      </c>
      <c r="G1192" s="439">
        <v>15550000</v>
      </c>
    </row>
    <row r="1193" spans="1:7" ht="15">
      <c r="A1193" s="525"/>
      <c r="B1193" s="520"/>
      <c r="C1193" s="520"/>
      <c r="D1193" s="520"/>
      <c r="E1193" s="438" t="s">
        <v>501</v>
      </c>
      <c r="F1193" s="438" t="s">
        <v>503</v>
      </c>
      <c r="G1193" s="439">
        <v>235000000</v>
      </c>
    </row>
    <row r="1194" spans="1:7" ht="15">
      <c r="A1194" s="525"/>
      <c r="B1194" s="520"/>
      <c r="C1194" s="520"/>
      <c r="D1194" s="520"/>
      <c r="E1194" s="520" t="s">
        <v>543</v>
      </c>
      <c r="F1194" s="438" t="s">
        <v>601</v>
      </c>
      <c r="G1194" s="439">
        <v>1208000</v>
      </c>
    </row>
    <row r="1195" spans="1:7" ht="15.75" customHeight="1" hidden="1">
      <c r="A1195" s="525"/>
      <c r="B1195" s="520"/>
      <c r="C1195" s="520"/>
      <c r="D1195" s="520"/>
      <c r="E1195" s="520"/>
      <c r="F1195" s="438" t="s">
        <v>544</v>
      </c>
      <c r="G1195" s="439">
        <v>0</v>
      </c>
    </row>
    <row r="1196" spans="1:7" ht="15">
      <c r="A1196" s="525"/>
      <c r="B1196" s="520" t="s">
        <v>716</v>
      </c>
      <c r="C1196" s="520" t="s">
        <v>514</v>
      </c>
      <c r="D1196" s="520" t="s">
        <v>515</v>
      </c>
      <c r="E1196" s="520" t="s">
        <v>574</v>
      </c>
      <c r="F1196" s="438" t="s">
        <v>575</v>
      </c>
      <c r="G1196" s="439">
        <v>11000000</v>
      </c>
    </row>
    <row r="1197" spans="1:7" ht="15">
      <c r="A1197" s="525"/>
      <c r="B1197" s="520"/>
      <c r="C1197" s="520"/>
      <c r="D1197" s="520"/>
      <c r="E1197" s="520"/>
      <c r="F1197" s="438" t="s">
        <v>576</v>
      </c>
      <c r="G1197" s="439">
        <v>2000000</v>
      </c>
    </row>
    <row r="1198" spans="1:7" ht="15">
      <c r="A1198" s="525"/>
      <c r="B1198" s="520"/>
      <c r="C1198" s="520"/>
      <c r="D1198" s="520"/>
      <c r="E1198" s="520"/>
      <c r="F1198" s="438" t="s">
        <v>578</v>
      </c>
      <c r="G1198" s="439">
        <v>8000000</v>
      </c>
    </row>
    <row r="1199" spans="1:7" ht="15">
      <c r="A1199" s="525"/>
      <c r="B1199" s="520"/>
      <c r="C1199" s="520"/>
      <c r="D1199" s="520"/>
      <c r="E1199" s="520"/>
      <c r="F1199" s="438" t="s">
        <v>616</v>
      </c>
      <c r="G1199" s="439">
        <v>3000000</v>
      </c>
    </row>
    <row r="1200" spans="1:7" ht="15">
      <c r="A1200" s="525"/>
      <c r="B1200" s="520"/>
      <c r="C1200" s="520"/>
      <c r="D1200" s="520"/>
      <c r="E1200" s="520"/>
      <c r="F1200" s="438" t="s">
        <v>579</v>
      </c>
      <c r="G1200" s="439">
        <v>11700000</v>
      </c>
    </row>
    <row r="1201" spans="1:7" ht="15.75" customHeight="1" hidden="1">
      <c r="A1201" s="525"/>
      <c r="B1201" s="520"/>
      <c r="C1201" s="520"/>
      <c r="D1201" s="520"/>
      <c r="E1201" s="438" t="s">
        <v>565</v>
      </c>
      <c r="F1201" s="438" t="s">
        <v>566</v>
      </c>
      <c r="G1201" s="439">
        <v>0</v>
      </c>
    </row>
    <row r="1202" spans="1:7" ht="15.75" customHeight="1" hidden="1">
      <c r="A1202" s="525"/>
      <c r="B1202" s="438" t="s">
        <v>557</v>
      </c>
      <c r="C1202" s="438" t="s">
        <v>519</v>
      </c>
      <c r="D1202" s="438" t="s">
        <v>573</v>
      </c>
      <c r="E1202" s="438" t="s">
        <v>565</v>
      </c>
      <c r="F1202" s="438" t="s">
        <v>566</v>
      </c>
      <c r="G1202" s="439">
        <v>0</v>
      </c>
    </row>
    <row r="1203" spans="1:7" ht="15">
      <c r="A1203" s="525"/>
      <c r="B1203" s="520" t="s">
        <v>569</v>
      </c>
      <c r="C1203" s="520" t="s">
        <v>550</v>
      </c>
      <c r="D1203" s="520" t="s">
        <v>639</v>
      </c>
      <c r="E1203" s="438" t="s">
        <v>561</v>
      </c>
      <c r="F1203" s="438" t="s">
        <v>563</v>
      </c>
      <c r="G1203" s="439">
        <v>6150000</v>
      </c>
    </row>
    <row r="1204" spans="1:7" ht="15">
      <c r="A1204" s="525"/>
      <c r="B1204" s="520"/>
      <c r="C1204" s="520"/>
      <c r="D1204" s="520"/>
      <c r="E1204" s="438" t="s">
        <v>565</v>
      </c>
      <c r="F1204" s="438" t="s">
        <v>566</v>
      </c>
      <c r="G1204" s="439">
        <v>16700000</v>
      </c>
    </row>
    <row r="1205" spans="1:7" ht="15">
      <c r="A1205" s="525"/>
      <c r="B1205" s="520" t="s">
        <v>717</v>
      </c>
      <c r="C1205" s="520" t="s">
        <v>497</v>
      </c>
      <c r="D1205" s="520" t="s">
        <v>588</v>
      </c>
      <c r="E1205" s="520" t="s">
        <v>574</v>
      </c>
      <c r="F1205" s="438" t="s">
        <v>576</v>
      </c>
      <c r="G1205" s="439">
        <v>1000000</v>
      </c>
    </row>
    <row r="1206" spans="1:7" ht="15">
      <c r="A1206" s="525"/>
      <c r="B1206" s="520"/>
      <c r="C1206" s="520"/>
      <c r="D1206" s="520"/>
      <c r="E1206" s="520"/>
      <c r="F1206" s="438" t="s">
        <v>578</v>
      </c>
      <c r="G1206" s="439">
        <v>4000000</v>
      </c>
    </row>
    <row r="1207" spans="1:7" ht="15">
      <c r="A1207" s="525"/>
      <c r="B1207" s="520" t="s">
        <v>171</v>
      </c>
      <c r="C1207" s="520" t="s">
        <v>171</v>
      </c>
      <c r="D1207" s="520" t="s">
        <v>171</v>
      </c>
      <c r="E1207" s="520" t="s">
        <v>574</v>
      </c>
      <c r="F1207" s="438" t="s">
        <v>616</v>
      </c>
      <c r="G1207" s="439">
        <v>4000000</v>
      </c>
    </row>
    <row r="1208" spans="1:7" ht="15">
      <c r="A1208" s="525"/>
      <c r="B1208" s="520"/>
      <c r="C1208" s="520"/>
      <c r="D1208" s="520"/>
      <c r="E1208" s="520"/>
      <c r="F1208" s="438" t="s">
        <v>593</v>
      </c>
      <c r="G1208" s="439">
        <v>13600000</v>
      </c>
    </row>
    <row r="1209" spans="1:7" ht="15">
      <c r="A1209" s="525"/>
      <c r="B1209" s="520"/>
      <c r="C1209" s="520"/>
      <c r="D1209" s="520"/>
      <c r="E1209" s="520"/>
      <c r="F1209" s="438" t="s">
        <v>579</v>
      </c>
      <c r="G1209" s="439">
        <v>4950000</v>
      </c>
    </row>
    <row r="1210" spans="1:7" ht="15">
      <c r="A1210" s="525"/>
      <c r="B1210" s="520"/>
      <c r="C1210" s="520"/>
      <c r="D1210" s="520"/>
      <c r="E1210" s="438" t="s">
        <v>561</v>
      </c>
      <c r="F1210" s="438" t="s">
        <v>563</v>
      </c>
      <c r="G1210" s="439">
        <v>750000</v>
      </c>
    </row>
    <row r="1211" spans="1:7" ht="15">
      <c r="A1211" s="525"/>
      <c r="B1211" s="520"/>
      <c r="C1211" s="520"/>
      <c r="D1211" s="520"/>
      <c r="E1211" s="438" t="s">
        <v>565</v>
      </c>
      <c r="F1211" s="438" t="s">
        <v>566</v>
      </c>
      <c r="G1211" s="439">
        <v>6000000</v>
      </c>
    </row>
    <row r="1212" spans="1:7" ht="15">
      <c r="A1212" s="525"/>
      <c r="B1212" s="520" t="s">
        <v>718</v>
      </c>
      <c r="C1212" s="520" t="s">
        <v>497</v>
      </c>
      <c r="D1212" s="520" t="s">
        <v>645</v>
      </c>
      <c r="E1212" s="438" t="s">
        <v>559</v>
      </c>
      <c r="F1212" s="438" t="s">
        <v>592</v>
      </c>
      <c r="G1212" s="439">
        <v>936280000</v>
      </c>
    </row>
    <row r="1213" spans="1:7" ht="15">
      <c r="A1213" s="525"/>
      <c r="B1213" s="520"/>
      <c r="C1213" s="520"/>
      <c r="D1213" s="520"/>
      <c r="E1213" s="438" t="s">
        <v>501</v>
      </c>
      <c r="F1213" s="438" t="s">
        <v>503</v>
      </c>
      <c r="G1213" s="439">
        <v>11280700</v>
      </c>
    </row>
    <row r="1214" spans="1:7" ht="15">
      <c r="A1214" s="525"/>
      <c r="B1214" s="520" t="s">
        <v>608</v>
      </c>
      <c r="C1214" s="520" t="s">
        <v>514</v>
      </c>
      <c r="D1214" s="520" t="s">
        <v>515</v>
      </c>
      <c r="E1214" s="438" t="s">
        <v>711</v>
      </c>
      <c r="F1214" s="438" t="s">
        <v>712</v>
      </c>
      <c r="G1214" s="439">
        <v>30000000</v>
      </c>
    </row>
    <row r="1215" spans="1:7" ht="15">
      <c r="A1215" s="525"/>
      <c r="B1215" s="520"/>
      <c r="C1215" s="520"/>
      <c r="D1215" s="520"/>
      <c r="E1215" s="438" t="s">
        <v>570</v>
      </c>
      <c r="F1215" s="438" t="s">
        <v>600</v>
      </c>
      <c r="G1215" s="439">
        <v>10491570</v>
      </c>
    </row>
    <row r="1216" spans="1:7" ht="15">
      <c r="A1216" s="525"/>
      <c r="B1216" s="520"/>
      <c r="C1216" s="520"/>
      <c r="D1216" s="520"/>
      <c r="E1216" s="520" t="s">
        <v>574</v>
      </c>
      <c r="F1216" s="438" t="s">
        <v>575</v>
      </c>
      <c r="G1216" s="439">
        <v>14935104</v>
      </c>
    </row>
    <row r="1217" spans="1:7" ht="15">
      <c r="A1217" s="525"/>
      <c r="B1217" s="520"/>
      <c r="C1217" s="520"/>
      <c r="D1217" s="520"/>
      <c r="E1217" s="520"/>
      <c r="F1217" s="438" t="s">
        <v>576</v>
      </c>
      <c r="G1217" s="439">
        <v>10000000</v>
      </c>
    </row>
    <row r="1218" spans="1:7" ht="15">
      <c r="A1218" s="525"/>
      <c r="B1218" s="520"/>
      <c r="C1218" s="520"/>
      <c r="D1218" s="520"/>
      <c r="E1218" s="520"/>
      <c r="F1218" s="438" t="s">
        <v>578</v>
      </c>
      <c r="G1218" s="439">
        <v>9500000</v>
      </c>
    </row>
    <row r="1219" spans="1:7" ht="15">
      <c r="A1219" s="525"/>
      <c r="B1219" s="520"/>
      <c r="C1219" s="520"/>
      <c r="D1219" s="520"/>
      <c r="E1219" s="520"/>
      <c r="F1219" s="438" t="s">
        <v>579</v>
      </c>
      <c r="G1219" s="439">
        <v>75955000</v>
      </c>
    </row>
    <row r="1220" spans="1:7" ht="15">
      <c r="A1220" s="525"/>
      <c r="B1220" s="520"/>
      <c r="C1220" s="520"/>
      <c r="D1220" s="520"/>
      <c r="E1220" s="520" t="s">
        <v>561</v>
      </c>
      <c r="F1220" s="438" t="s">
        <v>563</v>
      </c>
      <c r="G1220" s="439">
        <v>44698000</v>
      </c>
    </row>
    <row r="1221" spans="1:7" ht="15">
      <c r="A1221" s="525"/>
      <c r="B1221" s="520"/>
      <c r="C1221" s="520"/>
      <c r="D1221" s="520"/>
      <c r="E1221" s="520"/>
      <c r="F1221" s="438" t="s">
        <v>564</v>
      </c>
      <c r="G1221" s="439">
        <v>40588080</v>
      </c>
    </row>
    <row r="1222" spans="1:7" ht="15">
      <c r="A1222" s="525"/>
      <c r="B1222" s="520"/>
      <c r="C1222" s="520"/>
      <c r="D1222" s="520"/>
      <c r="E1222" s="438" t="s">
        <v>565</v>
      </c>
      <c r="F1222" s="438" t="s">
        <v>566</v>
      </c>
      <c r="G1222" s="439">
        <v>33000000</v>
      </c>
    </row>
    <row r="1223" spans="1:7" ht="15">
      <c r="A1223" s="525"/>
      <c r="B1223" s="520"/>
      <c r="C1223" s="520"/>
      <c r="D1223" s="520"/>
      <c r="E1223" s="438" t="s">
        <v>543</v>
      </c>
      <c r="F1223" s="438" t="s">
        <v>617</v>
      </c>
      <c r="G1223" s="439">
        <v>16800000</v>
      </c>
    </row>
    <row r="1224" spans="1:7" ht="15">
      <c r="A1224" s="525"/>
      <c r="B1224" s="520" t="s">
        <v>609</v>
      </c>
      <c r="C1224" s="520" t="s">
        <v>514</v>
      </c>
      <c r="D1224" s="520" t="s">
        <v>610</v>
      </c>
      <c r="E1224" s="438" t="s">
        <v>570</v>
      </c>
      <c r="F1224" s="438" t="s">
        <v>600</v>
      </c>
      <c r="G1224" s="439">
        <v>2245000</v>
      </c>
    </row>
    <row r="1225" spans="1:7" ht="15">
      <c r="A1225" s="525"/>
      <c r="B1225" s="520"/>
      <c r="C1225" s="520"/>
      <c r="D1225" s="520"/>
      <c r="E1225" s="438" t="s">
        <v>499</v>
      </c>
      <c r="F1225" s="438" t="s">
        <v>500</v>
      </c>
      <c r="G1225" s="439">
        <v>6253000</v>
      </c>
    </row>
    <row r="1226" spans="1:7" ht="15">
      <c r="A1226" s="525"/>
      <c r="B1226" s="520"/>
      <c r="C1226" s="520"/>
      <c r="D1226" s="520"/>
      <c r="E1226" s="520" t="s">
        <v>574</v>
      </c>
      <c r="F1226" s="438" t="s">
        <v>575</v>
      </c>
      <c r="G1226" s="439">
        <v>6745600</v>
      </c>
    </row>
    <row r="1227" spans="1:7" ht="15">
      <c r="A1227" s="525"/>
      <c r="B1227" s="520"/>
      <c r="C1227" s="520"/>
      <c r="D1227" s="520"/>
      <c r="E1227" s="520"/>
      <c r="F1227" s="438" t="s">
        <v>576</v>
      </c>
      <c r="G1227" s="439">
        <v>16000000</v>
      </c>
    </row>
    <row r="1228" spans="1:7" ht="15">
      <c r="A1228" s="525"/>
      <c r="B1228" s="520"/>
      <c r="C1228" s="520"/>
      <c r="D1228" s="520"/>
      <c r="E1228" s="520"/>
      <c r="F1228" s="438" t="s">
        <v>578</v>
      </c>
      <c r="G1228" s="439">
        <v>550000</v>
      </c>
    </row>
    <row r="1229" spans="1:7" ht="15">
      <c r="A1229" s="525"/>
      <c r="B1229" s="520"/>
      <c r="C1229" s="520"/>
      <c r="D1229" s="520"/>
      <c r="E1229" s="520"/>
      <c r="F1229" s="438" t="s">
        <v>593</v>
      </c>
      <c r="G1229" s="439">
        <v>47400000</v>
      </c>
    </row>
    <row r="1230" spans="1:7" ht="15">
      <c r="A1230" s="525"/>
      <c r="B1230" s="520"/>
      <c r="C1230" s="520"/>
      <c r="D1230" s="520"/>
      <c r="E1230" s="520"/>
      <c r="F1230" s="438" t="s">
        <v>579</v>
      </c>
      <c r="G1230" s="439">
        <v>6396400</v>
      </c>
    </row>
    <row r="1231" spans="1:7" ht="15">
      <c r="A1231" s="525"/>
      <c r="B1231" s="520"/>
      <c r="C1231" s="520"/>
      <c r="D1231" s="520"/>
      <c r="E1231" s="438" t="s">
        <v>561</v>
      </c>
      <c r="F1231" s="438" t="s">
        <v>563</v>
      </c>
      <c r="G1231" s="439">
        <v>2610000</v>
      </c>
    </row>
    <row r="1232" spans="1:7" ht="15">
      <c r="A1232" s="525"/>
      <c r="B1232" s="520" t="s">
        <v>613</v>
      </c>
      <c r="C1232" s="520" t="s">
        <v>497</v>
      </c>
      <c r="D1232" s="520" t="s">
        <v>588</v>
      </c>
      <c r="E1232" s="520" t="s">
        <v>574</v>
      </c>
      <c r="F1232" s="438" t="s">
        <v>575</v>
      </c>
      <c r="G1232" s="439">
        <v>1875000</v>
      </c>
    </row>
    <row r="1233" spans="1:7" ht="15">
      <c r="A1233" s="525"/>
      <c r="B1233" s="520"/>
      <c r="C1233" s="520"/>
      <c r="D1233" s="520"/>
      <c r="E1233" s="520"/>
      <c r="F1233" s="438" t="s">
        <v>578</v>
      </c>
      <c r="G1233" s="439">
        <v>6000000</v>
      </c>
    </row>
    <row r="1234" spans="1:7" ht="15">
      <c r="A1234" s="525"/>
      <c r="B1234" s="520"/>
      <c r="C1234" s="520"/>
      <c r="D1234" s="520"/>
      <c r="E1234" s="520"/>
      <c r="F1234" s="438" t="s">
        <v>579</v>
      </c>
      <c r="G1234" s="439">
        <v>6450000</v>
      </c>
    </row>
    <row r="1235" spans="1:7" ht="15">
      <c r="A1235" s="525"/>
      <c r="B1235" s="520" t="s">
        <v>614</v>
      </c>
      <c r="C1235" s="520" t="s">
        <v>514</v>
      </c>
      <c r="D1235" s="520" t="s">
        <v>610</v>
      </c>
      <c r="E1235" s="438" t="s">
        <v>570</v>
      </c>
      <c r="F1235" s="438" t="s">
        <v>600</v>
      </c>
      <c r="G1235" s="439">
        <v>746000</v>
      </c>
    </row>
    <row r="1236" spans="1:7" ht="15">
      <c r="A1236" s="525"/>
      <c r="B1236" s="520"/>
      <c r="C1236" s="520"/>
      <c r="D1236" s="520"/>
      <c r="E1236" s="520" t="s">
        <v>574</v>
      </c>
      <c r="F1236" s="438" t="s">
        <v>575</v>
      </c>
      <c r="G1236" s="439">
        <v>5054000</v>
      </c>
    </row>
    <row r="1237" spans="1:7" ht="15">
      <c r="A1237" s="525"/>
      <c r="B1237" s="520"/>
      <c r="C1237" s="520"/>
      <c r="D1237" s="520"/>
      <c r="E1237" s="520"/>
      <c r="F1237" s="438" t="s">
        <v>576</v>
      </c>
      <c r="G1237" s="439">
        <v>4000000</v>
      </c>
    </row>
    <row r="1238" spans="1:7" ht="15">
      <c r="A1238" s="525"/>
      <c r="B1238" s="520"/>
      <c r="C1238" s="520"/>
      <c r="D1238" s="520"/>
      <c r="E1238" s="520"/>
      <c r="F1238" s="438" t="s">
        <v>593</v>
      </c>
      <c r="G1238" s="439">
        <v>20000000</v>
      </c>
    </row>
    <row r="1239" spans="1:7" ht="15">
      <c r="A1239" s="525"/>
      <c r="B1239" s="520"/>
      <c r="C1239" s="520"/>
      <c r="D1239" s="520"/>
      <c r="E1239" s="520"/>
      <c r="F1239" s="438" t="s">
        <v>579</v>
      </c>
      <c r="G1239" s="439">
        <v>5300000</v>
      </c>
    </row>
    <row r="1240" spans="1:7" ht="15">
      <c r="A1240" s="525"/>
      <c r="B1240" s="520"/>
      <c r="C1240" s="520"/>
      <c r="D1240" s="520"/>
      <c r="E1240" s="438" t="s">
        <v>561</v>
      </c>
      <c r="F1240" s="438" t="s">
        <v>563</v>
      </c>
      <c r="G1240" s="439">
        <v>600000</v>
      </c>
    </row>
    <row r="1241" spans="1:7" ht="15">
      <c r="A1241" s="525"/>
      <c r="B1241" s="520" t="s">
        <v>719</v>
      </c>
      <c r="C1241" s="520" t="s">
        <v>529</v>
      </c>
      <c r="D1241" s="520" t="s">
        <v>591</v>
      </c>
      <c r="E1241" s="520" t="s">
        <v>574</v>
      </c>
      <c r="F1241" s="438" t="s">
        <v>575</v>
      </c>
      <c r="G1241" s="439">
        <v>8640000</v>
      </c>
    </row>
    <row r="1242" spans="1:7" ht="15">
      <c r="A1242" s="525"/>
      <c r="B1242" s="520"/>
      <c r="C1242" s="520"/>
      <c r="D1242" s="520"/>
      <c r="E1242" s="520"/>
      <c r="F1242" s="438" t="s">
        <v>576</v>
      </c>
      <c r="G1242" s="439">
        <v>11200000</v>
      </c>
    </row>
    <row r="1243" spans="1:7" ht="15">
      <c r="A1243" s="525"/>
      <c r="B1243" s="520"/>
      <c r="C1243" s="520"/>
      <c r="D1243" s="520"/>
      <c r="E1243" s="520"/>
      <c r="F1243" s="438" t="s">
        <v>578</v>
      </c>
      <c r="G1243" s="439">
        <v>3200000</v>
      </c>
    </row>
    <row r="1244" spans="1:7" ht="15">
      <c r="A1244" s="525"/>
      <c r="B1244" s="520"/>
      <c r="C1244" s="520"/>
      <c r="D1244" s="520"/>
      <c r="E1244" s="520"/>
      <c r="F1244" s="438" t="s">
        <v>593</v>
      </c>
      <c r="G1244" s="439">
        <v>70600000</v>
      </c>
    </row>
    <row r="1245" spans="1:7" ht="15">
      <c r="A1245" s="525"/>
      <c r="B1245" s="520"/>
      <c r="C1245" s="520"/>
      <c r="D1245" s="520"/>
      <c r="E1245" s="520"/>
      <c r="F1245" s="438" t="s">
        <v>579</v>
      </c>
      <c r="G1245" s="439">
        <v>19727000</v>
      </c>
    </row>
    <row r="1246" spans="1:7" ht="15">
      <c r="A1246" s="525"/>
      <c r="B1246" s="520"/>
      <c r="C1246" s="520"/>
      <c r="D1246" s="520"/>
      <c r="E1246" s="438" t="s">
        <v>565</v>
      </c>
      <c r="F1246" s="438" t="s">
        <v>566</v>
      </c>
      <c r="G1246" s="439">
        <v>6000000</v>
      </c>
    </row>
    <row r="1247" spans="1:7" ht="15">
      <c r="A1247" s="525"/>
      <c r="B1247" s="520"/>
      <c r="C1247" s="520"/>
      <c r="D1247" s="520"/>
      <c r="E1247" s="438" t="s">
        <v>501</v>
      </c>
      <c r="F1247" s="438" t="s">
        <v>503</v>
      </c>
      <c r="G1247" s="439">
        <v>6623000</v>
      </c>
    </row>
    <row r="1248" spans="1:7" ht="15">
      <c r="A1248" s="525"/>
      <c r="B1248" s="520"/>
      <c r="C1248" s="520" t="s">
        <v>497</v>
      </c>
      <c r="D1248" s="520" t="s">
        <v>588</v>
      </c>
      <c r="E1248" s="438" t="s">
        <v>499</v>
      </c>
      <c r="F1248" s="438" t="s">
        <v>541</v>
      </c>
      <c r="G1248" s="439">
        <v>1500000</v>
      </c>
    </row>
    <row r="1249" spans="1:7" ht="15">
      <c r="A1249" s="525"/>
      <c r="B1249" s="520"/>
      <c r="C1249" s="520"/>
      <c r="D1249" s="520"/>
      <c r="E1249" s="520" t="s">
        <v>574</v>
      </c>
      <c r="F1249" s="438" t="s">
        <v>575</v>
      </c>
      <c r="G1249" s="439">
        <v>23150000</v>
      </c>
    </row>
    <row r="1250" spans="1:7" ht="15">
      <c r="A1250" s="525"/>
      <c r="B1250" s="520"/>
      <c r="C1250" s="520"/>
      <c r="D1250" s="520"/>
      <c r="E1250" s="520"/>
      <c r="F1250" s="438" t="s">
        <v>576</v>
      </c>
      <c r="G1250" s="439">
        <v>16800000</v>
      </c>
    </row>
    <row r="1251" spans="1:7" ht="15">
      <c r="A1251" s="525"/>
      <c r="B1251" s="520"/>
      <c r="C1251" s="520"/>
      <c r="D1251" s="520"/>
      <c r="E1251" s="520"/>
      <c r="F1251" s="438" t="s">
        <v>616</v>
      </c>
      <c r="G1251" s="439">
        <v>12600000</v>
      </c>
    </row>
    <row r="1252" spans="1:7" ht="15">
      <c r="A1252" s="525"/>
      <c r="B1252" s="520"/>
      <c r="C1252" s="520"/>
      <c r="D1252" s="520"/>
      <c r="E1252" s="520"/>
      <c r="F1252" s="438" t="s">
        <v>593</v>
      </c>
      <c r="G1252" s="439">
        <v>56280000</v>
      </c>
    </row>
    <row r="1253" spans="1:7" ht="15">
      <c r="A1253" s="525"/>
      <c r="B1253" s="520"/>
      <c r="C1253" s="520"/>
      <c r="D1253" s="520"/>
      <c r="E1253" s="520"/>
      <c r="F1253" s="438" t="s">
        <v>579</v>
      </c>
      <c r="G1253" s="439">
        <v>66209999.99999999</v>
      </c>
    </row>
    <row r="1254" spans="1:7" ht="15">
      <c r="A1254" s="525"/>
      <c r="B1254" s="520"/>
      <c r="C1254" s="520"/>
      <c r="D1254" s="520"/>
      <c r="E1254" s="520" t="s">
        <v>565</v>
      </c>
      <c r="F1254" s="438" t="s">
        <v>566</v>
      </c>
      <c r="G1254" s="439">
        <v>3000000</v>
      </c>
    </row>
    <row r="1255" spans="1:7" ht="15">
      <c r="A1255" s="525"/>
      <c r="B1255" s="520"/>
      <c r="C1255" s="520"/>
      <c r="D1255" s="520"/>
      <c r="E1255" s="520"/>
      <c r="F1255" s="438" t="s">
        <v>582</v>
      </c>
      <c r="G1255" s="439">
        <v>1500000</v>
      </c>
    </row>
    <row r="1256" spans="1:7" ht="15">
      <c r="A1256" s="525"/>
      <c r="B1256" s="520"/>
      <c r="C1256" s="520"/>
      <c r="D1256" s="520"/>
      <c r="E1256" s="438" t="s">
        <v>501</v>
      </c>
      <c r="F1256" s="438" t="s">
        <v>502</v>
      </c>
      <c r="G1256" s="439">
        <v>4830000</v>
      </c>
    </row>
    <row r="1257" spans="1:7" ht="15">
      <c r="A1257" s="525"/>
      <c r="B1257" s="520"/>
      <c r="C1257" s="520" t="s">
        <v>514</v>
      </c>
      <c r="D1257" s="520" t="s">
        <v>515</v>
      </c>
      <c r="E1257" s="438" t="s">
        <v>499</v>
      </c>
      <c r="F1257" s="438" t="s">
        <v>500</v>
      </c>
      <c r="G1257" s="439">
        <v>4300000</v>
      </c>
    </row>
    <row r="1258" spans="1:7" ht="15">
      <c r="A1258" s="525"/>
      <c r="B1258" s="520"/>
      <c r="C1258" s="520"/>
      <c r="D1258" s="520"/>
      <c r="E1258" s="520" t="s">
        <v>574</v>
      </c>
      <c r="F1258" s="438" t="s">
        <v>575</v>
      </c>
      <c r="G1258" s="439">
        <v>52861000</v>
      </c>
    </row>
    <row r="1259" spans="1:7" ht="15">
      <c r="A1259" s="525"/>
      <c r="B1259" s="520"/>
      <c r="C1259" s="520"/>
      <c r="D1259" s="520"/>
      <c r="E1259" s="520"/>
      <c r="F1259" s="438" t="s">
        <v>576</v>
      </c>
      <c r="G1259" s="439">
        <v>5000000</v>
      </c>
    </row>
    <row r="1260" spans="1:7" ht="15">
      <c r="A1260" s="525"/>
      <c r="B1260" s="520"/>
      <c r="C1260" s="520"/>
      <c r="D1260" s="520"/>
      <c r="E1260" s="520"/>
      <c r="F1260" s="438" t="s">
        <v>578</v>
      </c>
      <c r="G1260" s="439">
        <v>653000</v>
      </c>
    </row>
    <row r="1261" spans="1:7" ht="15">
      <c r="A1261" s="525"/>
      <c r="B1261" s="520"/>
      <c r="C1261" s="520"/>
      <c r="D1261" s="520"/>
      <c r="E1261" s="520"/>
      <c r="F1261" s="438" t="s">
        <v>593</v>
      </c>
      <c r="G1261" s="439">
        <v>37960000</v>
      </c>
    </row>
    <row r="1262" spans="1:7" ht="15">
      <c r="A1262" s="525"/>
      <c r="B1262" s="520"/>
      <c r="C1262" s="520"/>
      <c r="D1262" s="520"/>
      <c r="E1262" s="520"/>
      <c r="F1262" s="438" t="s">
        <v>579</v>
      </c>
      <c r="G1262" s="439">
        <v>53259000</v>
      </c>
    </row>
    <row r="1263" spans="1:7" ht="15">
      <c r="A1263" s="525"/>
      <c r="B1263" s="520"/>
      <c r="C1263" s="520"/>
      <c r="D1263" s="520"/>
      <c r="E1263" s="438" t="s">
        <v>561</v>
      </c>
      <c r="F1263" s="438" t="s">
        <v>563</v>
      </c>
      <c r="G1263" s="439">
        <v>1080000</v>
      </c>
    </row>
    <row r="1264" spans="1:7" ht="15">
      <c r="A1264" s="525"/>
      <c r="B1264" s="520"/>
      <c r="C1264" s="520"/>
      <c r="D1264" s="520"/>
      <c r="E1264" s="438" t="s">
        <v>565</v>
      </c>
      <c r="F1264" s="438" t="s">
        <v>566</v>
      </c>
      <c r="G1264" s="439">
        <v>2400000</v>
      </c>
    </row>
    <row r="1265" spans="1:7" ht="15">
      <c r="A1265" s="525"/>
      <c r="B1265" s="520"/>
      <c r="C1265" s="520"/>
      <c r="D1265" s="520"/>
      <c r="E1265" s="520" t="s">
        <v>501</v>
      </c>
      <c r="F1265" s="438" t="s">
        <v>502</v>
      </c>
      <c r="G1265" s="439">
        <v>64971500.00000001</v>
      </c>
    </row>
    <row r="1266" spans="1:7" ht="15">
      <c r="A1266" s="525"/>
      <c r="B1266" s="520"/>
      <c r="C1266" s="520"/>
      <c r="D1266" s="520"/>
      <c r="E1266" s="520"/>
      <c r="F1266" s="438" t="s">
        <v>503</v>
      </c>
      <c r="G1266" s="439">
        <v>47800000</v>
      </c>
    </row>
    <row r="1267" spans="1:7" ht="15">
      <c r="A1267" s="525"/>
      <c r="B1267" s="520"/>
      <c r="C1267" s="520"/>
      <c r="D1267" s="520"/>
      <c r="E1267" s="438" t="s">
        <v>543</v>
      </c>
      <c r="F1267" s="438" t="s">
        <v>544</v>
      </c>
      <c r="G1267" s="439">
        <v>11417000</v>
      </c>
    </row>
    <row r="1268" spans="1:7" ht="15">
      <c r="A1268" s="525"/>
      <c r="B1268" s="520" t="s">
        <v>584</v>
      </c>
      <c r="C1268" s="520" t="s">
        <v>519</v>
      </c>
      <c r="D1268" s="520" t="s">
        <v>528</v>
      </c>
      <c r="E1268" s="520" t="s">
        <v>561</v>
      </c>
      <c r="F1268" s="438" t="s">
        <v>562</v>
      </c>
      <c r="G1268" s="439">
        <v>3996000</v>
      </c>
    </row>
    <row r="1269" spans="1:7" ht="15">
      <c r="A1269" s="525"/>
      <c r="B1269" s="520"/>
      <c r="C1269" s="520"/>
      <c r="D1269" s="520"/>
      <c r="E1269" s="520"/>
      <c r="F1269" s="438" t="s">
        <v>563</v>
      </c>
      <c r="G1269" s="439">
        <v>5504000</v>
      </c>
    </row>
    <row r="1270" spans="1:7" ht="15">
      <c r="A1270" s="525"/>
      <c r="B1270" s="520" t="s">
        <v>504</v>
      </c>
      <c r="C1270" s="520" t="s">
        <v>529</v>
      </c>
      <c r="D1270" s="520" t="s">
        <v>530</v>
      </c>
      <c r="E1270" s="520" t="s">
        <v>574</v>
      </c>
      <c r="F1270" s="438" t="s">
        <v>575</v>
      </c>
      <c r="G1270" s="439">
        <v>17250000</v>
      </c>
    </row>
    <row r="1271" spans="1:7" ht="15">
      <c r="A1271" s="525"/>
      <c r="B1271" s="520"/>
      <c r="C1271" s="520"/>
      <c r="D1271" s="520"/>
      <c r="E1271" s="520"/>
      <c r="F1271" s="438" t="s">
        <v>576</v>
      </c>
      <c r="G1271" s="439">
        <v>9600000</v>
      </c>
    </row>
    <row r="1272" spans="1:7" ht="15">
      <c r="A1272" s="525"/>
      <c r="B1272" s="520"/>
      <c r="C1272" s="520"/>
      <c r="D1272" s="520"/>
      <c r="E1272" s="520"/>
      <c r="F1272" s="438" t="s">
        <v>578</v>
      </c>
      <c r="G1272" s="439">
        <v>6000000</v>
      </c>
    </row>
    <row r="1273" spans="1:7" ht="15">
      <c r="A1273" s="525"/>
      <c r="B1273" s="520"/>
      <c r="C1273" s="520"/>
      <c r="D1273" s="520"/>
      <c r="E1273" s="520"/>
      <c r="F1273" s="438" t="s">
        <v>616</v>
      </c>
      <c r="G1273" s="439">
        <v>6000000</v>
      </c>
    </row>
    <row r="1274" spans="1:7" ht="15">
      <c r="A1274" s="525"/>
      <c r="B1274" s="520"/>
      <c r="C1274" s="520"/>
      <c r="D1274" s="520"/>
      <c r="E1274" s="520"/>
      <c r="F1274" s="438" t="s">
        <v>593</v>
      </c>
      <c r="G1274" s="439">
        <v>42900000</v>
      </c>
    </row>
    <row r="1275" spans="1:7" ht="15">
      <c r="A1275" s="525"/>
      <c r="B1275" s="520"/>
      <c r="C1275" s="520"/>
      <c r="D1275" s="520"/>
      <c r="E1275" s="520"/>
      <c r="F1275" s="438" t="s">
        <v>579</v>
      </c>
      <c r="G1275" s="439">
        <v>26250000</v>
      </c>
    </row>
    <row r="1276" spans="1:7" ht="15">
      <c r="A1276" s="525"/>
      <c r="B1276" s="520"/>
      <c r="C1276" s="520"/>
      <c r="D1276" s="520"/>
      <c r="E1276" s="438" t="s">
        <v>561</v>
      </c>
      <c r="F1276" s="438" t="s">
        <v>563</v>
      </c>
      <c r="G1276" s="439">
        <v>2520000</v>
      </c>
    </row>
    <row r="1277" spans="1:7" ht="15">
      <c r="A1277" s="525"/>
      <c r="B1277" s="520"/>
      <c r="C1277" s="520"/>
      <c r="D1277" s="520"/>
      <c r="E1277" s="438" t="s">
        <v>565</v>
      </c>
      <c r="F1277" s="438" t="s">
        <v>566</v>
      </c>
      <c r="G1277" s="439">
        <v>4700000</v>
      </c>
    </row>
    <row r="1278" spans="1:7" ht="15">
      <c r="A1278" s="525"/>
      <c r="B1278" s="520"/>
      <c r="C1278" s="520"/>
      <c r="D1278" s="520"/>
      <c r="E1278" s="438" t="s">
        <v>543</v>
      </c>
      <c r="F1278" s="438" t="s">
        <v>544</v>
      </c>
      <c r="G1278" s="439">
        <v>8100000</v>
      </c>
    </row>
    <row r="1279" spans="1:7" ht="15">
      <c r="A1279" s="525"/>
      <c r="B1279" s="520"/>
      <c r="C1279" s="520"/>
      <c r="D1279" s="520" t="s">
        <v>591</v>
      </c>
      <c r="E1279" s="520" t="s">
        <v>574</v>
      </c>
      <c r="F1279" s="438" t="s">
        <v>575</v>
      </c>
      <c r="G1279" s="439">
        <v>26410000</v>
      </c>
    </row>
    <row r="1280" spans="1:7" ht="15">
      <c r="A1280" s="525"/>
      <c r="B1280" s="520"/>
      <c r="C1280" s="520"/>
      <c r="D1280" s="520"/>
      <c r="E1280" s="520"/>
      <c r="F1280" s="438" t="s">
        <v>576</v>
      </c>
      <c r="G1280" s="439">
        <v>6400000</v>
      </c>
    </row>
    <row r="1281" spans="1:7" ht="15">
      <c r="A1281" s="525"/>
      <c r="B1281" s="520"/>
      <c r="C1281" s="520"/>
      <c r="D1281" s="520"/>
      <c r="E1281" s="520"/>
      <c r="F1281" s="438" t="s">
        <v>577</v>
      </c>
      <c r="G1281" s="439">
        <v>12300000</v>
      </c>
    </row>
    <row r="1282" spans="1:7" ht="15">
      <c r="A1282" s="525"/>
      <c r="B1282" s="520"/>
      <c r="C1282" s="520"/>
      <c r="D1282" s="520"/>
      <c r="E1282" s="520"/>
      <c r="F1282" s="438" t="s">
        <v>578</v>
      </c>
      <c r="G1282" s="439">
        <v>1650000</v>
      </c>
    </row>
    <row r="1283" spans="1:7" ht="15">
      <c r="A1283" s="525"/>
      <c r="B1283" s="520"/>
      <c r="C1283" s="520"/>
      <c r="D1283" s="520"/>
      <c r="E1283" s="520"/>
      <c r="F1283" s="438" t="s">
        <v>616</v>
      </c>
      <c r="G1283" s="439">
        <v>3950000</v>
      </c>
    </row>
    <row r="1284" spans="1:7" ht="15">
      <c r="A1284" s="525"/>
      <c r="B1284" s="520"/>
      <c r="C1284" s="520"/>
      <c r="D1284" s="520"/>
      <c r="E1284" s="520"/>
      <c r="F1284" s="438" t="s">
        <v>593</v>
      </c>
      <c r="G1284" s="439">
        <v>50700000</v>
      </c>
    </row>
    <row r="1285" spans="1:7" ht="15">
      <c r="A1285" s="525"/>
      <c r="B1285" s="520"/>
      <c r="C1285" s="520"/>
      <c r="D1285" s="520"/>
      <c r="E1285" s="520"/>
      <c r="F1285" s="438" t="s">
        <v>579</v>
      </c>
      <c r="G1285" s="439">
        <v>51821000</v>
      </c>
    </row>
    <row r="1286" spans="1:7" ht="15">
      <c r="A1286" s="525"/>
      <c r="B1286" s="520"/>
      <c r="C1286" s="520" t="s">
        <v>497</v>
      </c>
      <c r="D1286" s="520" t="s">
        <v>498</v>
      </c>
      <c r="E1286" s="438" t="s">
        <v>711</v>
      </c>
      <c r="F1286" s="438" t="s">
        <v>720</v>
      </c>
      <c r="G1286" s="439">
        <v>18900000</v>
      </c>
    </row>
    <row r="1287" spans="1:7" ht="15">
      <c r="A1287" s="525"/>
      <c r="B1287" s="520"/>
      <c r="C1287" s="520"/>
      <c r="D1287" s="520"/>
      <c r="E1287" s="520" t="s">
        <v>574</v>
      </c>
      <c r="F1287" s="438" t="s">
        <v>575</v>
      </c>
      <c r="G1287" s="439">
        <v>31330000</v>
      </c>
    </row>
    <row r="1288" spans="1:7" ht="15">
      <c r="A1288" s="525"/>
      <c r="B1288" s="520"/>
      <c r="C1288" s="520"/>
      <c r="D1288" s="520"/>
      <c r="E1288" s="520"/>
      <c r="F1288" s="438" t="s">
        <v>576</v>
      </c>
      <c r="G1288" s="439">
        <v>14400000</v>
      </c>
    </row>
    <row r="1289" spans="1:7" ht="15">
      <c r="A1289" s="525"/>
      <c r="B1289" s="520"/>
      <c r="C1289" s="520"/>
      <c r="D1289" s="520"/>
      <c r="E1289" s="520"/>
      <c r="F1289" s="438" t="s">
        <v>603</v>
      </c>
      <c r="G1289" s="439">
        <v>2700000</v>
      </c>
    </row>
    <row r="1290" spans="1:7" ht="15">
      <c r="A1290" s="525"/>
      <c r="B1290" s="520"/>
      <c r="C1290" s="520"/>
      <c r="D1290" s="520"/>
      <c r="E1290" s="520"/>
      <c r="F1290" s="438" t="s">
        <v>578</v>
      </c>
      <c r="G1290" s="439">
        <v>5100000</v>
      </c>
    </row>
    <row r="1291" spans="1:7" ht="15">
      <c r="A1291" s="525"/>
      <c r="B1291" s="520"/>
      <c r="C1291" s="520"/>
      <c r="D1291" s="520"/>
      <c r="E1291" s="520"/>
      <c r="F1291" s="438" t="s">
        <v>593</v>
      </c>
      <c r="G1291" s="439">
        <v>31280000</v>
      </c>
    </row>
    <row r="1292" spans="1:7" ht="15">
      <c r="A1292" s="525"/>
      <c r="B1292" s="520"/>
      <c r="C1292" s="520"/>
      <c r="D1292" s="520"/>
      <c r="E1292" s="520"/>
      <c r="F1292" s="438" t="s">
        <v>579</v>
      </c>
      <c r="G1292" s="439">
        <v>54750000</v>
      </c>
    </row>
    <row r="1293" spans="1:7" ht="15.75" customHeight="1" hidden="1">
      <c r="A1293" s="525"/>
      <c r="B1293" s="520"/>
      <c r="C1293" s="520"/>
      <c r="D1293" s="520"/>
      <c r="E1293" s="520" t="s">
        <v>561</v>
      </c>
      <c r="F1293" s="438" t="s">
        <v>562</v>
      </c>
      <c r="G1293" s="439">
        <v>0</v>
      </c>
    </row>
    <row r="1294" spans="1:7" ht="15">
      <c r="A1294" s="525"/>
      <c r="B1294" s="520"/>
      <c r="C1294" s="520"/>
      <c r="D1294" s="520"/>
      <c r="E1294" s="520"/>
      <c r="F1294" s="438" t="s">
        <v>563</v>
      </c>
      <c r="G1294" s="439">
        <v>1200000</v>
      </c>
    </row>
    <row r="1295" spans="1:7" ht="15">
      <c r="A1295" s="525"/>
      <c r="B1295" s="520"/>
      <c r="C1295" s="520"/>
      <c r="D1295" s="520"/>
      <c r="E1295" s="438" t="s">
        <v>565</v>
      </c>
      <c r="F1295" s="438" t="s">
        <v>566</v>
      </c>
      <c r="G1295" s="439">
        <v>7200000</v>
      </c>
    </row>
    <row r="1296" spans="1:7" ht="15">
      <c r="A1296" s="525"/>
      <c r="B1296" s="520"/>
      <c r="C1296" s="520"/>
      <c r="D1296" s="520"/>
      <c r="E1296" s="438" t="s">
        <v>505</v>
      </c>
      <c r="F1296" s="438" t="s">
        <v>506</v>
      </c>
      <c r="G1296" s="439">
        <v>19140000</v>
      </c>
    </row>
    <row r="1297" spans="1:7" ht="15">
      <c r="A1297" s="525"/>
      <c r="B1297" s="520"/>
      <c r="C1297" s="520"/>
      <c r="D1297" s="520" t="s">
        <v>588</v>
      </c>
      <c r="E1297" s="438" t="s">
        <v>539</v>
      </c>
      <c r="F1297" s="438" t="s">
        <v>615</v>
      </c>
      <c r="G1297" s="439">
        <v>2700000</v>
      </c>
    </row>
    <row r="1298" spans="1:7" ht="15">
      <c r="A1298" s="525"/>
      <c r="B1298" s="520"/>
      <c r="C1298" s="520"/>
      <c r="D1298" s="520"/>
      <c r="E1298" s="520" t="s">
        <v>574</v>
      </c>
      <c r="F1298" s="438" t="s">
        <v>575</v>
      </c>
      <c r="G1298" s="439">
        <v>5152000</v>
      </c>
    </row>
    <row r="1299" spans="1:7" ht="15">
      <c r="A1299" s="525"/>
      <c r="B1299" s="520"/>
      <c r="C1299" s="520"/>
      <c r="D1299" s="520"/>
      <c r="E1299" s="520"/>
      <c r="F1299" s="438" t="s">
        <v>576</v>
      </c>
      <c r="G1299" s="439">
        <v>3200000</v>
      </c>
    </row>
    <row r="1300" spans="1:7" ht="15">
      <c r="A1300" s="525"/>
      <c r="B1300" s="520"/>
      <c r="C1300" s="520"/>
      <c r="D1300" s="520"/>
      <c r="E1300" s="520"/>
      <c r="F1300" s="438" t="s">
        <v>603</v>
      </c>
      <c r="G1300" s="439">
        <v>3950000</v>
      </c>
    </row>
    <row r="1301" spans="1:7" ht="15.75" customHeight="1" hidden="1">
      <c r="A1301" s="525"/>
      <c r="B1301" s="520"/>
      <c r="C1301" s="520"/>
      <c r="D1301" s="520"/>
      <c r="E1301" s="520"/>
      <c r="F1301" s="438" t="s">
        <v>577</v>
      </c>
      <c r="G1301" s="439">
        <v>0</v>
      </c>
    </row>
    <row r="1302" spans="1:7" ht="15.75" customHeight="1" hidden="1">
      <c r="A1302" s="525"/>
      <c r="B1302" s="520"/>
      <c r="C1302" s="520"/>
      <c r="D1302" s="520"/>
      <c r="E1302" s="520"/>
      <c r="F1302" s="438" t="s">
        <v>578</v>
      </c>
      <c r="G1302" s="439">
        <v>0</v>
      </c>
    </row>
    <row r="1303" spans="1:7" ht="15">
      <c r="A1303" s="525"/>
      <c r="B1303" s="520"/>
      <c r="C1303" s="520"/>
      <c r="D1303" s="520"/>
      <c r="E1303" s="520"/>
      <c r="F1303" s="438" t="s">
        <v>616</v>
      </c>
      <c r="G1303" s="439">
        <v>2000000</v>
      </c>
    </row>
    <row r="1304" spans="1:7" ht="15">
      <c r="A1304" s="525"/>
      <c r="B1304" s="520"/>
      <c r="C1304" s="520"/>
      <c r="D1304" s="520"/>
      <c r="E1304" s="520"/>
      <c r="F1304" s="438" t="s">
        <v>593</v>
      </c>
      <c r="G1304" s="439">
        <v>14560000</v>
      </c>
    </row>
    <row r="1305" spans="1:7" ht="15">
      <c r="A1305" s="525"/>
      <c r="B1305" s="520"/>
      <c r="C1305" s="520"/>
      <c r="D1305" s="520"/>
      <c r="E1305" s="520"/>
      <c r="F1305" s="438" t="s">
        <v>579</v>
      </c>
      <c r="G1305" s="439">
        <v>8717000</v>
      </c>
    </row>
    <row r="1306" spans="1:7" ht="15">
      <c r="A1306" s="525"/>
      <c r="B1306" s="520"/>
      <c r="C1306" s="520"/>
      <c r="D1306" s="520"/>
      <c r="E1306" s="438" t="s">
        <v>561</v>
      </c>
      <c r="F1306" s="438" t="s">
        <v>563</v>
      </c>
      <c r="G1306" s="439">
        <v>7890000</v>
      </c>
    </row>
    <row r="1307" spans="1:7" ht="15">
      <c r="A1307" s="525"/>
      <c r="B1307" s="520"/>
      <c r="C1307" s="520"/>
      <c r="D1307" s="520"/>
      <c r="E1307" s="438" t="s">
        <v>565</v>
      </c>
      <c r="F1307" s="438" t="s">
        <v>566</v>
      </c>
      <c r="G1307" s="439">
        <v>33500000</v>
      </c>
    </row>
    <row r="1308" spans="1:7" ht="15">
      <c r="A1308" s="525"/>
      <c r="B1308" s="520"/>
      <c r="C1308" s="520" t="s">
        <v>514</v>
      </c>
      <c r="D1308" s="520" t="s">
        <v>515</v>
      </c>
      <c r="E1308" s="438" t="s">
        <v>499</v>
      </c>
      <c r="F1308" s="438" t="s">
        <v>500</v>
      </c>
      <c r="G1308" s="439">
        <v>2420000</v>
      </c>
    </row>
    <row r="1309" spans="1:7" ht="15">
      <c r="A1309" s="525"/>
      <c r="B1309" s="520"/>
      <c r="C1309" s="520"/>
      <c r="D1309" s="520"/>
      <c r="E1309" s="520" t="s">
        <v>574</v>
      </c>
      <c r="F1309" s="438" t="s">
        <v>575</v>
      </c>
      <c r="G1309" s="439">
        <v>57030000</v>
      </c>
    </row>
    <row r="1310" spans="1:7" ht="15">
      <c r="A1310" s="525"/>
      <c r="B1310" s="520"/>
      <c r="C1310" s="520"/>
      <c r="D1310" s="520"/>
      <c r="E1310" s="520"/>
      <c r="F1310" s="438" t="s">
        <v>576</v>
      </c>
      <c r="G1310" s="439">
        <v>9600000</v>
      </c>
    </row>
    <row r="1311" spans="1:7" ht="15">
      <c r="A1311" s="525"/>
      <c r="B1311" s="520"/>
      <c r="C1311" s="520"/>
      <c r="D1311" s="520"/>
      <c r="E1311" s="520"/>
      <c r="F1311" s="438" t="s">
        <v>603</v>
      </c>
      <c r="G1311" s="439">
        <v>15680000</v>
      </c>
    </row>
    <row r="1312" spans="1:7" ht="15">
      <c r="A1312" s="525"/>
      <c r="B1312" s="520"/>
      <c r="C1312" s="520"/>
      <c r="D1312" s="520"/>
      <c r="E1312" s="520"/>
      <c r="F1312" s="438" t="s">
        <v>578</v>
      </c>
      <c r="G1312" s="439">
        <v>3600000</v>
      </c>
    </row>
    <row r="1313" spans="1:7" ht="15">
      <c r="A1313" s="525"/>
      <c r="B1313" s="520"/>
      <c r="C1313" s="520"/>
      <c r="D1313" s="520"/>
      <c r="E1313" s="520"/>
      <c r="F1313" s="438" t="s">
        <v>616</v>
      </c>
      <c r="G1313" s="439">
        <v>5000000</v>
      </c>
    </row>
    <row r="1314" spans="1:7" ht="15">
      <c r="A1314" s="525"/>
      <c r="B1314" s="520"/>
      <c r="C1314" s="520"/>
      <c r="D1314" s="520"/>
      <c r="E1314" s="520"/>
      <c r="F1314" s="438" t="s">
        <v>593</v>
      </c>
      <c r="G1314" s="439">
        <v>87490000</v>
      </c>
    </row>
    <row r="1315" spans="1:7" ht="15">
      <c r="A1315" s="525"/>
      <c r="B1315" s="520"/>
      <c r="C1315" s="520"/>
      <c r="D1315" s="520"/>
      <c r="E1315" s="520"/>
      <c r="F1315" s="438" t="s">
        <v>579</v>
      </c>
      <c r="G1315" s="439">
        <v>185441000</v>
      </c>
    </row>
    <row r="1316" spans="1:7" ht="15">
      <c r="A1316" s="525"/>
      <c r="B1316" s="520"/>
      <c r="C1316" s="520"/>
      <c r="D1316" s="520"/>
      <c r="E1316" s="438" t="s">
        <v>543</v>
      </c>
      <c r="F1316" s="438" t="s">
        <v>544</v>
      </c>
      <c r="G1316" s="439">
        <v>8440000</v>
      </c>
    </row>
    <row r="1317" spans="1:7" ht="15">
      <c r="A1317" s="525"/>
      <c r="B1317" s="520" t="s">
        <v>594</v>
      </c>
      <c r="C1317" s="520" t="s">
        <v>529</v>
      </c>
      <c r="D1317" s="520" t="s">
        <v>591</v>
      </c>
      <c r="E1317" s="438" t="s">
        <v>653</v>
      </c>
      <c r="F1317" s="438" t="s">
        <v>654</v>
      </c>
      <c r="G1317" s="439">
        <v>2160000</v>
      </c>
    </row>
    <row r="1318" spans="1:7" ht="15">
      <c r="A1318" s="525"/>
      <c r="B1318" s="520"/>
      <c r="C1318" s="520"/>
      <c r="D1318" s="520"/>
      <c r="E1318" s="438" t="s">
        <v>559</v>
      </c>
      <c r="F1318" s="438" t="s">
        <v>560</v>
      </c>
      <c r="G1318" s="439">
        <v>18900000</v>
      </c>
    </row>
    <row r="1319" spans="1:7" ht="15">
      <c r="A1319" s="525"/>
      <c r="B1319" s="520"/>
      <c r="C1319" s="520"/>
      <c r="D1319" s="520"/>
      <c r="E1319" s="520" t="s">
        <v>574</v>
      </c>
      <c r="F1319" s="438" t="s">
        <v>576</v>
      </c>
      <c r="G1319" s="439">
        <v>800000</v>
      </c>
    </row>
    <row r="1320" spans="1:7" ht="15">
      <c r="A1320" s="525"/>
      <c r="B1320" s="520"/>
      <c r="C1320" s="520"/>
      <c r="D1320" s="520"/>
      <c r="E1320" s="520"/>
      <c r="F1320" s="438" t="s">
        <v>593</v>
      </c>
      <c r="G1320" s="439">
        <v>4320000</v>
      </c>
    </row>
    <row r="1321" spans="1:7" ht="15">
      <c r="A1321" s="525"/>
      <c r="B1321" s="520"/>
      <c r="C1321" s="520"/>
      <c r="D1321" s="520"/>
      <c r="E1321" s="520" t="s">
        <v>565</v>
      </c>
      <c r="F1321" s="438" t="s">
        <v>566</v>
      </c>
      <c r="G1321" s="439">
        <v>2000000</v>
      </c>
    </row>
    <row r="1322" spans="1:7" ht="15">
      <c r="A1322" s="525"/>
      <c r="B1322" s="520"/>
      <c r="C1322" s="520"/>
      <c r="D1322" s="520"/>
      <c r="E1322" s="520"/>
      <c r="F1322" s="438" t="s">
        <v>582</v>
      </c>
      <c r="G1322" s="439">
        <v>5000000</v>
      </c>
    </row>
    <row r="1323" spans="1:7" ht="15">
      <c r="A1323" s="525"/>
      <c r="B1323" s="520"/>
      <c r="C1323" s="520"/>
      <c r="D1323" s="520"/>
      <c r="E1323" s="520"/>
      <c r="F1323" s="438" t="s">
        <v>583</v>
      </c>
      <c r="G1323" s="439">
        <v>3100000</v>
      </c>
    </row>
    <row r="1324" spans="1:7" ht="15">
      <c r="A1324" s="525"/>
      <c r="B1324" s="520"/>
      <c r="C1324" s="520"/>
      <c r="D1324" s="520"/>
      <c r="E1324" s="438" t="s">
        <v>634</v>
      </c>
      <c r="F1324" s="438" t="s">
        <v>676</v>
      </c>
      <c r="G1324" s="439">
        <v>10000000</v>
      </c>
    </row>
    <row r="1325" spans="1:7" ht="15">
      <c r="A1325" s="525"/>
      <c r="B1325" s="520"/>
      <c r="C1325" s="520"/>
      <c r="D1325" s="520"/>
      <c r="E1325" s="520" t="s">
        <v>501</v>
      </c>
      <c r="F1325" s="438" t="s">
        <v>502</v>
      </c>
      <c r="G1325" s="439">
        <v>54640000</v>
      </c>
    </row>
    <row r="1326" spans="1:7" ht="15">
      <c r="A1326" s="525"/>
      <c r="B1326" s="520"/>
      <c r="C1326" s="520"/>
      <c r="D1326" s="520"/>
      <c r="E1326" s="520"/>
      <c r="F1326" s="438" t="s">
        <v>503</v>
      </c>
      <c r="G1326" s="439">
        <v>43920000</v>
      </c>
    </row>
    <row r="1327" spans="1:7" ht="15">
      <c r="A1327" s="525"/>
      <c r="B1327" s="520"/>
      <c r="C1327" s="520" t="s">
        <v>514</v>
      </c>
      <c r="D1327" s="520" t="s">
        <v>515</v>
      </c>
      <c r="E1327" s="438" t="s">
        <v>539</v>
      </c>
      <c r="F1327" s="438" t="s">
        <v>615</v>
      </c>
      <c r="G1327" s="439">
        <v>2000000</v>
      </c>
    </row>
    <row r="1328" spans="1:7" ht="15">
      <c r="A1328" s="525"/>
      <c r="B1328" s="520"/>
      <c r="C1328" s="520"/>
      <c r="D1328" s="520"/>
      <c r="E1328" s="438" t="s">
        <v>499</v>
      </c>
      <c r="F1328" s="438" t="s">
        <v>633</v>
      </c>
      <c r="G1328" s="439">
        <v>8750000</v>
      </c>
    </row>
    <row r="1329" spans="1:7" ht="15">
      <c r="A1329" s="525"/>
      <c r="B1329" s="520"/>
      <c r="C1329" s="520"/>
      <c r="D1329" s="520"/>
      <c r="E1329" s="438" t="s">
        <v>559</v>
      </c>
      <c r="F1329" s="438" t="s">
        <v>560</v>
      </c>
      <c r="G1329" s="439">
        <v>70000000</v>
      </c>
    </row>
    <row r="1330" spans="1:7" ht="15">
      <c r="A1330" s="525"/>
      <c r="B1330" s="520"/>
      <c r="C1330" s="520"/>
      <c r="D1330" s="520"/>
      <c r="E1330" s="520" t="s">
        <v>574</v>
      </c>
      <c r="F1330" s="438" t="s">
        <v>593</v>
      </c>
      <c r="G1330" s="439">
        <v>11250000</v>
      </c>
    </row>
    <row r="1331" spans="1:7" ht="15">
      <c r="A1331" s="525"/>
      <c r="B1331" s="520"/>
      <c r="C1331" s="520"/>
      <c r="D1331" s="520"/>
      <c r="E1331" s="520"/>
      <c r="F1331" s="438" t="s">
        <v>579</v>
      </c>
      <c r="G1331" s="439">
        <v>13000000</v>
      </c>
    </row>
    <row r="1332" spans="1:7" ht="15">
      <c r="A1332" s="525"/>
      <c r="B1332" s="520"/>
      <c r="C1332" s="520"/>
      <c r="D1332" s="520"/>
      <c r="E1332" s="438" t="s">
        <v>634</v>
      </c>
      <c r="F1332" s="438" t="s">
        <v>676</v>
      </c>
      <c r="G1332" s="439">
        <v>12250000</v>
      </c>
    </row>
    <row r="1333" spans="1:7" ht="15">
      <c r="A1333" s="525"/>
      <c r="B1333" s="520"/>
      <c r="C1333" s="520"/>
      <c r="D1333" s="520"/>
      <c r="E1333" s="520" t="s">
        <v>501</v>
      </c>
      <c r="F1333" s="438" t="s">
        <v>502</v>
      </c>
      <c r="G1333" s="439">
        <v>42000000</v>
      </c>
    </row>
    <row r="1334" spans="1:7" ht="15">
      <c r="A1334" s="525"/>
      <c r="B1334" s="520"/>
      <c r="C1334" s="520"/>
      <c r="D1334" s="520"/>
      <c r="E1334" s="520"/>
      <c r="F1334" s="438" t="s">
        <v>503</v>
      </c>
      <c r="G1334" s="439">
        <v>3750000</v>
      </c>
    </row>
    <row r="1335" spans="1:7" ht="15.75" customHeight="1" hidden="1">
      <c r="A1335" s="525"/>
      <c r="B1335" s="438" t="s">
        <v>721</v>
      </c>
      <c r="C1335" s="438" t="s">
        <v>657</v>
      </c>
      <c r="D1335" s="438" t="s">
        <v>658</v>
      </c>
      <c r="E1335" s="438" t="s">
        <v>543</v>
      </c>
      <c r="F1335" s="438" t="s">
        <v>544</v>
      </c>
      <c r="G1335" s="439">
        <v>0</v>
      </c>
    </row>
    <row r="1336" spans="1:7" ht="15">
      <c r="A1336" s="525"/>
      <c r="B1336" s="520" t="s">
        <v>518</v>
      </c>
      <c r="C1336" s="520" t="s">
        <v>550</v>
      </c>
      <c r="D1336" s="520" t="s">
        <v>707</v>
      </c>
      <c r="E1336" s="520" t="s">
        <v>561</v>
      </c>
      <c r="F1336" s="438" t="s">
        <v>562</v>
      </c>
      <c r="G1336" s="439">
        <v>2360000</v>
      </c>
    </row>
    <row r="1337" spans="1:7" ht="15">
      <c r="A1337" s="526"/>
      <c r="B1337" s="520"/>
      <c r="C1337" s="520"/>
      <c r="D1337" s="520"/>
      <c r="E1337" s="520"/>
      <c r="F1337" s="438" t="s">
        <v>563</v>
      </c>
      <c r="G1337" s="439">
        <v>3360000</v>
      </c>
    </row>
    <row r="1338" spans="1:7" ht="15">
      <c r="A1338" s="519" t="s">
        <v>722</v>
      </c>
      <c r="B1338" s="520" t="s">
        <v>599</v>
      </c>
      <c r="C1338" s="520" t="s">
        <v>497</v>
      </c>
      <c r="D1338" s="520" t="s">
        <v>648</v>
      </c>
      <c r="E1338" s="438" t="s">
        <v>539</v>
      </c>
      <c r="F1338" s="438" t="s">
        <v>615</v>
      </c>
      <c r="G1338" s="439">
        <v>18262000</v>
      </c>
    </row>
    <row r="1339" spans="1:7" ht="15">
      <c r="A1339" s="519"/>
      <c r="B1339" s="520"/>
      <c r="C1339" s="520"/>
      <c r="D1339" s="520"/>
      <c r="E1339" s="438" t="s">
        <v>570</v>
      </c>
      <c r="F1339" s="438" t="s">
        <v>600</v>
      </c>
      <c r="G1339" s="439">
        <v>8460000</v>
      </c>
    </row>
    <row r="1340" spans="1:7" ht="15">
      <c r="A1340" s="519"/>
      <c r="B1340" s="520"/>
      <c r="C1340" s="520"/>
      <c r="D1340" s="520"/>
      <c r="E1340" s="438" t="s">
        <v>499</v>
      </c>
      <c r="F1340" s="438" t="s">
        <v>633</v>
      </c>
      <c r="G1340" s="439">
        <v>138590000</v>
      </c>
    </row>
    <row r="1341" spans="1:7" ht="15">
      <c r="A1341" s="519"/>
      <c r="B1341" s="520"/>
      <c r="C1341" s="520"/>
      <c r="D1341" s="520"/>
      <c r="E1341" s="520" t="s">
        <v>574</v>
      </c>
      <c r="F1341" s="438" t="s">
        <v>593</v>
      </c>
      <c r="G1341" s="439">
        <v>16239999.999999998</v>
      </c>
    </row>
    <row r="1342" spans="1:7" ht="15">
      <c r="A1342" s="519"/>
      <c r="B1342" s="520"/>
      <c r="C1342" s="520"/>
      <c r="D1342" s="520"/>
      <c r="E1342" s="520"/>
      <c r="F1342" s="438" t="s">
        <v>579</v>
      </c>
      <c r="G1342" s="439">
        <v>4059999.9999999995</v>
      </c>
    </row>
    <row r="1343" spans="1:7" ht="15">
      <c r="A1343" s="519"/>
      <c r="B1343" s="520"/>
      <c r="C1343" s="520"/>
      <c r="D1343" s="520"/>
      <c r="E1343" s="438" t="s">
        <v>561</v>
      </c>
      <c r="F1343" s="438" t="s">
        <v>563</v>
      </c>
      <c r="G1343" s="439">
        <v>6330000</v>
      </c>
    </row>
    <row r="1344" spans="1:7" ht="15">
      <c r="A1344" s="519"/>
      <c r="B1344" s="520"/>
      <c r="C1344" s="520"/>
      <c r="D1344" s="520"/>
      <c r="E1344" s="520" t="s">
        <v>553</v>
      </c>
      <c r="F1344" s="438" t="s">
        <v>723</v>
      </c>
      <c r="G1344" s="439">
        <v>22000000</v>
      </c>
    </row>
    <row r="1345" spans="1:7" ht="15">
      <c r="A1345" s="519"/>
      <c r="B1345" s="520"/>
      <c r="C1345" s="520"/>
      <c r="D1345" s="520"/>
      <c r="E1345" s="520"/>
      <c r="F1345" s="438" t="s">
        <v>626</v>
      </c>
      <c r="G1345" s="439">
        <v>15900000</v>
      </c>
    </row>
    <row r="1346" spans="1:7" ht="15">
      <c r="A1346" s="519"/>
      <c r="B1346" s="520"/>
      <c r="C1346" s="520"/>
      <c r="D1346" s="520"/>
      <c r="E1346" s="520"/>
      <c r="F1346" s="438" t="s">
        <v>629</v>
      </c>
      <c r="G1346" s="439">
        <v>3300000</v>
      </c>
    </row>
    <row r="1347" spans="1:7" ht="15">
      <c r="A1347" s="519"/>
      <c r="B1347" s="520"/>
      <c r="C1347" s="520"/>
      <c r="D1347" s="520"/>
      <c r="E1347" s="520" t="s">
        <v>634</v>
      </c>
      <c r="F1347" s="438" t="s">
        <v>676</v>
      </c>
      <c r="G1347" s="439">
        <v>40200000</v>
      </c>
    </row>
    <row r="1348" spans="1:7" ht="15">
      <c r="A1348" s="519"/>
      <c r="B1348" s="520"/>
      <c r="C1348" s="520"/>
      <c r="D1348" s="520"/>
      <c r="E1348" s="520"/>
      <c r="F1348" s="438" t="s">
        <v>635</v>
      </c>
      <c r="G1348" s="439">
        <v>19719000</v>
      </c>
    </row>
    <row r="1349" spans="1:7" ht="15">
      <c r="A1349" s="519"/>
      <c r="B1349" s="520"/>
      <c r="C1349" s="520"/>
      <c r="D1349" s="520"/>
      <c r="E1349" s="438" t="s">
        <v>501</v>
      </c>
      <c r="F1349" s="438" t="s">
        <v>503</v>
      </c>
      <c r="G1349" s="439">
        <v>1651663100</v>
      </c>
    </row>
    <row r="1350" spans="1:7" ht="15">
      <c r="A1350" s="519" t="s">
        <v>722</v>
      </c>
      <c r="B1350" s="520" t="s">
        <v>518</v>
      </c>
      <c r="C1350" s="520" t="s">
        <v>550</v>
      </c>
      <c r="D1350" s="520" t="s">
        <v>707</v>
      </c>
      <c r="E1350" s="438" t="s">
        <v>559</v>
      </c>
      <c r="F1350" s="438" t="s">
        <v>560</v>
      </c>
      <c r="G1350" s="439">
        <v>47300000</v>
      </c>
    </row>
    <row r="1351" spans="1:7" ht="15">
      <c r="A1351" s="519"/>
      <c r="B1351" s="520"/>
      <c r="C1351" s="520"/>
      <c r="D1351" s="520"/>
      <c r="E1351" s="520" t="s">
        <v>574</v>
      </c>
      <c r="F1351" s="438" t="s">
        <v>575</v>
      </c>
      <c r="G1351" s="439">
        <v>39290000</v>
      </c>
    </row>
    <row r="1352" spans="1:7" ht="15">
      <c r="A1352" s="519"/>
      <c r="B1352" s="520"/>
      <c r="C1352" s="520"/>
      <c r="D1352" s="520"/>
      <c r="E1352" s="520"/>
      <c r="F1352" s="438" t="s">
        <v>576</v>
      </c>
      <c r="G1352" s="439">
        <v>30500000</v>
      </c>
    </row>
    <row r="1353" spans="1:7" ht="15">
      <c r="A1353" s="519"/>
      <c r="B1353" s="520"/>
      <c r="C1353" s="520"/>
      <c r="D1353" s="520"/>
      <c r="E1353" s="520"/>
      <c r="F1353" s="438" t="s">
        <v>577</v>
      </c>
      <c r="G1353" s="439">
        <v>900000</v>
      </c>
    </row>
    <row r="1354" spans="1:7" ht="15">
      <c r="A1354" s="519"/>
      <c r="B1354" s="520"/>
      <c r="C1354" s="520"/>
      <c r="D1354" s="520"/>
      <c r="E1354" s="520"/>
      <c r="F1354" s="438" t="s">
        <v>578</v>
      </c>
      <c r="G1354" s="439">
        <v>1630000</v>
      </c>
    </row>
    <row r="1355" spans="1:7" ht="15">
      <c r="A1355" s="519"/>
      <c r="B1355" s="520"/>
      <c r="C1355" s="520"/>
      <c r="D1355" s="520"/>
      <c r="E1355" s="520"/>
      <c r="F1355" s="438" t="s">
        <v>616</v>
      </c>
      <c r="G1355" s="439">
        <v>600000</v>
      </c>
    </row>
    <row r="1356" spans="1:7" ht="15">
      <c r="A1356" s="519"/>
      <c r="B1356" s="520"/>
      <c r="C1356" s="520"/>
      <c r="D1356" s="520"/>
      <c r="E1356" s="520"/>
      <c r="F1356" s="438" t="s">
        <v>593</v>
      </c>
      <c r="G1356" s="439">
        <v>32720000</v>
      </c>
    </row>
    <row r="1357" spans="1:7" ht="15">
      <c r="A1357" s="519"/>
      <c r="B1357" s="520"/>
      <c r="C1357" s="520"/>
      <c r="D1357" s="520"/>
      <c r="E1357" s="520"/>
      <c r="F1357" s="438" t="s">
        <v>579</v>
      </c>
      <c r="G1357" s="439">
        <v>80560000</v>
      </c>
    </row>
    <row r="1358" spans="1:7" ht="15">
      <c r="A1358" s="519"/>
      <c r="B1358" s="520"/>
      <c r="C1358" s="520"/>
      <c r="D1358" s="520"/>
      <c r="E1358" s="520" t="s">
        <v>561</v>
      </c>
      <c r="F1358" s="438" t="s">
        <v>562</v>
      </c>
      <c r="G1358" s="439">
        <v>2360000</v>
      </c>
    </row>
    <row r="1359" spans="1:7" ht="15">
      <c r="A1359" s="519"/>
      <c r="B1359" s="520"/>
      <c r="C1359" s="520"/>
      <c r="D1359" s="520"/>
      <c r="E1359" s="520"/>
      <c r="F1359" s="438" t="s">
        <v>563</v>
      </c>
      <c r="G1359" s="439">
        <v>6120000</v>
      </c>
    </row>
    <row r="1360" spans="1:7" ht="15">
      <c r="A1360" s="519"/>
      <c r="B1360" s="520"/>
      <c r="C1360" s="520"/>
      <c r="D1360" s="520"/>
      <c r="E1360" s="520"/>
      <c r="F1360" s="438" t="s">
        <v>564</v>
      </c>
      <c r="G1360" s="439">
        <v>3300000</v>
      </c>
    </row>
    <row r="1361" spans="1:7" ht="15">
      <c r="A1361" s="519"/>
      <c r="B1361" s="520"/>
      <c r="C1361" s="520"/>
      <c r="D1361" s="520"/>
      <c r="E1361" s="438" t="s">
        <v>501</v>
      </c>
      <c r="F1361" s="438" t="s">
        <v>502</v>
      </c>
      <c r="G1361" s="439">
        <v>5310000</v>
      </c>
    </row>
    <row r="1362" spans="1:7" ht="15">
      <c r="A1362" s="519" t="s">
        <v>724</v>
      </c>
      <c r="B1362" s="520" t="s">
        <v>572</v>
      </c>
      <c r="C1362" s="520" t="s">
        <v>519</v>
      </c>
      <c r="D1362" s="520" t="s">
        <v>558</v>
      </c>
      <c r="E1362" s="438" t="s">
        <v>553</v>
      </c>
      <c r="F1362" s="438" t="s">
        <v>626</v>
      </c>
      <c r="G1362" s="439">
        <v>2696658000</v>
      </c>
    </row>
    <row r="1363" spans="1:7" ht="15">
      <c r="A1363" s="519"/>
      <c r="B1363" s="520"/>
      <c r="C1363" s="520"/>
      <c r="D1363" s="520"/>
      <c r="E1363" s="438" t="s">
        <v>634</v>
      </c>
      <c r="F1363" s="438" t="s">
        <v>702</v>
      </c>
      <c r="G1363" s="439">
        <v>6048680000</v>
      </c>
    </row>
    <row r="1364" spans="1:7" ht="15">
      <c r="A1364" s="519"/>
      <c r="B1364" s="520"/>
      <c r="C1364" s="520"/>
      <c r="D1364" s="520"/>
      <c r="E1364" s="438" t="s">
        <v>543</v>
      </c>
      <c r="F1364" s="438" t="s">
        <v>544</v>
      </c>
      <c r="G1364" s="439">
        <v>18852000</v>
      </c>
    </row>
    <row r="1365" spans="1:7" ht="15">
      <c r="A1365" s="519" t="s">
        <v>722</v>
      </c>
      <c r="B1365" s="520" t="s">
        <v>572</v>
      </c>
      <c r="C1365" s="520" t="s">
        <v>580</v>
      </c>
      <c r="D1365" s="520" t="s">
        <v>581</v>
      </c>
      <c r="E1365" s="520" t="s">
        <v>574</v>
      </c>
      <c r="F1365" s="438" t="s">
        <v>575</v>
      </c>
      <c r="G1365" s="439">
        <v>18480000</v>
      </c>
    </row>
    <row r="1366" spans="1:7" ht="15">
      <c r="A1366" s="519"/>
      <c r="B1366" s="520"/>
      <c r="C1366" s="520"/>
      <c r="D1366" s="520"/>
      <c r="E1366" s="520"/>
      <c r="F1366" s="438" t="s">
        <v>576</v>
      </c>
      <c r="G1366" s="439">
        <v>3600000</v>
      </c>
    </row>
    <row r="1367" spans="1:7" ht="15">
      <c r="A1367" s="519"/>
      <c r="B1367" s="520"/>
      <c r="C1367" s="520"/>
      <c r="D1367" s="520"/>
      <c r="E1367" s="520"/>
      <c r="F1367" s="438" t="s">
        <v>578</v>
      </c>
      <c r="G1367" s="439">
        <v>22500000</v>
      </c>
    </row>
    <row r="1368" spans="1:7" ht="15">
      <c r="A1368" s="519"/>
      <c r="B1368" s="520"/>
      <c r="C1368" s="520"/>
      <c r="D1368" s="520"/>
      <c r="E1368" s="520"/>
      <c r="F1368" s="438" t="s">
        <v>579</v>
      </c>
      <c r="G1368" s="439">
        <v>59090000</v>
      </c>
    </row>
    <row r="1369" spans="1:7" ht="15">
      <c r="A1369" s="519"/>
      <c r="B1369" s="520"/>
      <c r="C1369" s="520"/>
      <c r="D1369" s="520"/>
      <c r="E1369" s="438" t="s">
        <v>553</v>
      </c>
      <c r="F1369" s="438" t="s">
        <v>629</v>
      </c>
      <c r="G1369" s="439">
        <v>765556000</v>
      </c>
    </row>
    <row r="1370" spans="1:7" ht="15">
      <c r="A1370" s="519"/>
      <c r="B1370" s="520"/>
      <c r="C1370" s="520"/>
      <c r="D1370" s="520"/>
      <c r="E1370" s="438" t="s">
        <v>501</v>
      </c>
      <c r="F1370" s="438" t="s">
        <v>503</v>
      </c>
      <c r="G1370" s="439">
        <v>91675000</v>
      </c>
    </row>
    <row r="1371" spans="1:7" ht="15">
      <c r="A1371" s="519" t="s">
        <v>722</v>
      </c>
      <c r="B1371" s="438" t="s">
        <v>599</v>
      </c>
      <c r="C1371" s="438" t="s">
        <v>497</v>
      </c>
      <c r="D1371" s="438" t="s">
        <v>531</v>
      </c>
      <c r="E1371" s="438" t="s">
        <v>521</v>
      </c>
      <c r="F1371" s="438" t="s">
        <v>637</v>
      </c>
      <c r="G1371" s="439">
        <v>14725000</v>
      </c>
    </row>
    <row r="1372" spans="1:7" ht="15">
      <c r="A1372" s="519"/>
      <c r="B1372" s="520" t="s">
        <v>674</v>
      </c>
      <c r="C1372" s="520" t="s">
        <v>497</v>
      </c>
      <c r="D1372" s="520" t="s">
        <v>532</v>
      </c>
      <c r="E1372" s="520" t="s">
        <v>521</v>
      </c>
      <c r="F1372" s="438" t="s">
        <v>637</v>
      </c>
      <c r="G1372" s="439">
        <v>138465000</v>
      </c>
    </row>
    <row r="1373" spans="1:7" ht="15" hidden="1">
      <c r="A1373" s="519"/>
      <c r="B1373" s="520"/>
      <c r="C1373" s="520"/>
      <c r="D1373" s="520"/>
      <c r="E1373" s="520"/>
      <c r="F1373" s="438" t="s">
        <v>695</v>
      </c>
      <c r="G1373" s="439">
        <v>0</v>
      </c>
    </row>
    <row r="1374" spans="1:7" ht="15">
      <c r="A1374" s="519"/>
      <c r="B1374" s="520"/>
      <c r="C1374" s="520"/>
      <c r="D1374" s="520"/>
      <c r="E1374" s="438" t="s">
        <v>523</v>
      </c>
      <c r="F1374" s="438" t="s">
        <v>525</v>
      </c>
      <c r="G1374" s="439">
        <v>100000000</v>
      </c>
    </row>
    <row r="1375" spans="1:7" ht="15" hidden="1">
      <c r="A1375" s="437" t="s">
        <v>722</v>
      </c>
      <c r="B1375" s="438" t="s">
        <v>674</v>
      </c>
      <c r="C1375" s="438" t="s">
        <v>497</v>
      </c>
      <c r="D1375" s="438" t="s">
        <v>532</v>
      </c>
      <c r="E1375" s="438" t="s">
        <v>521</v>
      </c>
      <c r="F1375" s="438" t="s">
        <v>637</v>
      </c>
      <c r="G1375" s="439">
        <v>0</v>
      </c>
    </row>
    <row r="1376" spans="1:7" ht="15" hidden="1">
      <c r="A1376" s="437" t="s">
        <v>722</v>
      </c>
      <c r="B1376" s="438" t="s">
        <v>725</v>
      </c>
      <c r="C1376" s="438" t="s">
        <v>497</v>
      </c>
      <c r="D1376" s="438" t="s">
        <v>532</v>
      </c>
      <c r="E1376" s="438" t="s">
        <v>523</v>
      </c>
      <c r="F1376" s="438" t="s">
        <v>524</v>
      </c>
      <c r="G1376" s="439">
        <v>0</v>
      </c>
    </row>
    <row r="1377" spans="1:7" ht="15">
      <c r="A1377" s="519" t="s">
        <v>726</v>
      </c>
      <c r="B1377" s="520" t="s">
        <v>599</v>
      </c>
      <c r="C1377" s="520" t="s">
        <v>497</v>
      </c>
      <c r="D1377" s="520" t="s">
        <v>531</v>
      </c>
      <c r="E1377" s="520" t="s">
        <v>521</v>
      </c>
      <c r="F1377" s="438" t="s">
        <v>637</v>
      </c>
      <c r="G1377" s="439">
        <v>292151000</v>
      </c>
    </row>
    <row r="1378" spans="1:7" ht="15">
      <c r="A1378" s="529"/>
      <c r="B1378" s="530"/>
      <c r="C1378" s="530"/>
      <c r="D1378" s="530"/>
      <c r="E1378" s="530"/>
      <c r="F1378" s="440" t="s">
        <v>695</v>
      </c>
      <c r="G1378" s="441">
        <v>23372000</v>
      </c>
    </row>
    <row r="1379" spans="1:7" ht="13.5" hidden="1">
      <c r="A1379" s="442" t="s">
        <v>728</v>
      </c>
      <c r="B1379" s="425"/>
      <c r="C1379" s="425"/>
      <c r="D1379" s="425"/>
      <c r="E1379" s="531" t="s">
        <v>379</v>
      </c>
      <c r="F1379" s="531"/>
      <c r="G1379" s="531"/>
    </row>
    <row r="1380" spans="1:7" ht="15" hidden="1">
      <c r="A1380" s="443" t="s">
        <v>365</v>
      </c>
      <c r="B1380" s="532" t="s">
        <v>336</v>
      </c>
      <c r="C1380" s="532"/>
      <c r="D1380" s="532"/>
      <c r="E1380" s="533" t="s">
        <v>337</v>
      </c>
      <c r="F1380" s="533"/>
      <c r="G1380" s="533"/>
    </row>
    <row r="1381" spans="1:7" ht="13.5" hidden="1">
      <c r="A1381" s="534"/>
      <c r="B1381" s="426"/>
      <c r="C1381" s="444"/>
      <c r="D1381" s="444"/>
      <c r="E1381" s="444"/>
      <c r="F1381" s="444"/>
      <c r="G1381" s="445"/>
    </row>
    <row r="1382" spans="1:7" ht="13.5" hidden="1">
      <c r="A1382" s="534"/>
      <c r="B1382" s="426"/>
      <c r="C1382" s="446"/>
      <c r="D1382" s="446"/>
      <c r="E1382" s="446"/>
      <c r="F1382" s="446"/>
      <c r="G1382" s="447"/>
    </row>
    <row r="1383" spans="1:7" ht="13.5" hidden="1">
      <c r="A1383" s="426"/>
      <c r="B1383" s="426"/>
      <c r="C1383" s="446"/>
      <c r="D1383" s="446"/>
      <c r="E1383" s="446"/>
      <c r="F1383" s="446"/>
      <c r="G1383" s="447"/>
    </row>
    <row r="1384" spans="1:7" ht="14.25" hidden="1">
      <c r="A1384" s="231"/>
      <c r="B1384" s="230"/>
      <c r="C1384" s="230"/>
      <c r="D1384" s="230"/>
      <c r="E1384" s="230"/>
      <c r="F1384" s="230"/>
      <c r="G1384" s="231"/>
    </row>
    <row r="1385" spans="1:7" ht="15" hidden="1">
      <c r="A1385" s="231"/>
      <c r="B1385" s="448"/>
      <c r="C1385" s="448"/>
      <c r="D1385" s="448"/>
      <c r="E1385" s="448"/>
      <c r="F1385" s="448"/>
      <c r="G1385" s="423"/>
    </row>
    <row r="1386" spans="1:7" ht="15" hidden="1">
      <c r="A1386" s="231"/>
      <c r="B1386" s="448"/>
      <c r="C1386" s="448"/>
      <c r="D1386" s="448"/>
      <c r="E1386" s="448"/>
      <c r="F1386" s="448"/>
      <c r="G1386" s="423"/>
    </row>
    <row r="1387" spans="1:7" ht="15" hidden="1">
      <c r="A1387" s="449" t="s">
        <v>739</v>
      </c>
      <c r="B1387" s="535" t="s">
        <v>727</v>
      </c>
      <c r="C1387" s="535"/>
      <c r="D1387" s="535"/>
      <c r="E1387" s="535" t="s">
        <v>338</v>
      </c>
      <c r="F1387" s="535"/>
      <c r="G1387" s="535"/>
    </row>
  </sheetData>
  <sheetProtection/>
  <mergeCells count="855">
    <mergeCell ref="E1379:G1379"/>
    <mergeCell ref="B1380:D1380"/>
    <mergeCell ref="E1380:G1380"/>
    <mergeCell ref="A1381:A1382"/>
    <mergeCell ref="B1387:D1387"/>
    <mergeCell ref="E1387:G1387"/>
    <mergeCell ref="A1377:A1378"/>
    <mergeCell ref="B1377:B1378"/>
    <mergeCell ref="C1377:C1378"/>
    <mergeCell ref="D1377:D1378"/>
    <mergeCell ref="E1377:E1378"/>
    <mergeCell ref="B268:G278"/>
    <mergeCell ref="E1365:E1368"/>
    <mergeCell ref="A1371:A1374"/>
    <mergeCell ref="B1372:B1374"/>
    <mergeCell ref="C1372:C1374"/>
    <mergeCell ref="D1372:D1374"/>
    <mergeCell ref="E1372:E1373"/>
    <mergeCell ref="A1362:A1364"/>
    <mergeCell ref="B1362:B1364"/>
    <mergeCell ref="C1362:C1364"/>
    <mergeCell ref="D1362:D1364"/>
    <mergeCell ref="A1365:A1370"/>
    <mergeCell ref="B1365:B1370"/>
    <mergeCell ref="C1365:C1370"/>
    <mergeCell ref="D1365:D1370"/>
    <mergeCell ref="A1350:A1361"/>
    <mergeCell ref="B1350:B1361"/>
    <mergeCell ref="C1350:C1361"/>
    <mergeCell ref="D1350:D1361"/>
    <mergeCell ref="E1351:E1357"/>
    <mergeCell ref="E1358:E1360"/>
    <mergeCell ref="D1336:D1337"/>
    <mergeCell ref="E1336:E1337"/>
    <mergeCell ref="A1338:A1349"/>
    <mergeCell ref="B1338:B1349"/>
    <mergeCell ref="C1338:C1349"/>
    <mergeCell ref="D1338:D1349"/>
    <mergeCell ref="E1341:E1342"/>
    <mergeCell ref="E1344:E1346"/>
    <mergeCell ref="E1347:E1348"/>
    <mergeCell ref="D1308:D1316"/>
    <mergeCell ref="E1309:E1315"/>
    <mergeCell ref="B1317:B1334"/>
    <mergeCell ref="C1317:C1326"/>
    <mergeCell ref="D1317:D1326"/>
    <mergeCell ref="E1319:E1320"/>
    <mergeCell ref="E1321:E1323"/>
    <mergeCell ref="E1325:E1326"/>
    <mergeCell ref="C1327:C1334"/>
    <mergeCell ref="D1327:D1334"/>
    <mergeCell ref="E1279:E1285"/>
    <mergeCell ref="C1286:C1307"/>
    <mergeCell ref="D1286:D1296"/>
    <mergeCell ref="E1287:E1292"/>
    <mergeCell ref="E1293:E1294"/>
    <mergeCell ref="D1297:D1307"/>
    <mergeCell ref="E1298:E1305"/>
    <mergeCell ref="B1268:B1269"/>
    <mergeCell ref="C1268:C1269"/>
    <mergeCell ref="D1268:D1269"/>
    <mergeCell ref="E1268:E1269"/>
    <mergeCell ref="B1241:B1267"/>
    <mergeCell ref="C1241:C1247"/>
    <mergeCell ref="D1241:D1247"/>
    <mergeCell ref="E1241:E1245"/>
    <mergeCell ref="C1248:C1256"/>
    <mergeCell ref="D1248:D1256"/>
    <mergeCell ref="E1249:E1253"/>
    <mergeCell ref="E1254:E1255"/>
    <mergeCell ref="C1257:C1267"/>
    <mergeCell ref="D1257:D1267"/>
    <mergeCell ref="E1258:E1262"/>
    <mergeCell ref="E1265:E1266"/>
    <mergeCell ref="B1232:B1234"/>
    <mergeCell ref="C1232:C1234"/>
    <mergeCell ref="D1232:D1234"/>
    <mergeCell ref="E1232:E1234"/>
    <mergeCell ref="B1235:B1240"/>
    <mergeCell ref="C1235:C1240"/>
    <mergeCell ref="D1235:D1240"/>
    <mergeCell ref="E1236:E1239"/>
    <mergeCell ref="B1214:B1223"/>
    <mergeCell ref="E1216:E1219"/>
    <mergeCell ref="E1220:E1221"/>
    <mergeCell ref="B1224:B1231"/>
    <mergeCell ref="C1224:C1231"/>
    <mergeCell ref="D1224:D1231"/>
    <mergeCell ref="E1226:E1230"/>
    <mergeCell ref="C1214:C1223"/>
    <mergeCell ref="D1214:D1223"/>
    <mergeCell ref="E1205:E1206"/>
    <mergeCell ref="B1207:B1211"/>
    <mergeCell ref="C1207:C1211"/>
    <mergeCell ref="D1207:D1211"/>
    <mergeCell ref="E1207:E1209"/>
    <mergeCell ref="B1212:B1213"/>
    <mergeCell ref="C1212:C1213"/>
    <mergeCell ref="D1212:D1213"/>
    <mergeCell ref="E1194:E1195"/>
    <mergeCell ref="B1196:B1201"/>
    <mergeCell ref="C1196:C1201"/>
    <mergeCell ref="D1196:D1201"/>
    <mergeCell ref="E1196:E1200"/>
    <mergeCell ref="B1203:B1204"/>
    <mergeCell ref="C1203:C1204"/>
    <mergeCell ref="D1203:D1204"/>
    <mergeCell ref="B1184:B1195"/>
    <mergeCell ref="C1184:C1195"/>
    <mergeCell ref="D1184:D1195"/>
    <mergeCell ref="B1205:B1206"/>
    <mergeCell ref="C1205:C1206"/>
    <mergeCell ref="D1205:D1206"/>
    <mergeCell ref="B1176:B1181"/>
    <mergeCell ref="C1176:C1181"/>
    <mergeCell ref="D1176:D1181"/>
    <mergeCell ref="E1178:E1181"/>
    <mergeCell ref="B1182:B1183"/>
    <mergeCell ref="C1182:C1183"/>
    <mergeCell ref="D1182:D1183"/>
    <mergeCell ref="C1153:C1165"/>
    <mergeCell ref="D1153:D1155"/>
    <mergeCell ref="E1153:E1154"/>
    <mergeCell ref="C1166:C1175"/>
    <mergeCell ref="D1166:D1175"/>
    <mergeCell ref="E1166:E1171"/>
    <mergeCell ref="E1130:E1136"/>
    <mergeCell ref="E1138:E1140"/>
    <mergeCell ref="E1141:E1142"/>
    <mergeCell ref="A1144:A1181"/>
    <mergeCell ref="B1144:B1152"/>
    <mergeCell ref="C1144:C1152"/>
    <mergeCell ref="D1144:D1152"/>
    <mergeCell ref="E1144:E1148"/>
    <mergeCell ref="E1149:E1150"/>
    <mergeCell ref="B1153:B1175"/>
    <mergeCell ref="B1114:B1119"/>
    <mergeCell ref="C1114:C1119"/>
    <mergeCell ref="D1114:D1119"/>
    <mergeCell ref="E1114:E1119"/>
    <mergeCell ref="B1120:B1143"/>
    <mergeCell ref="C1120:C1127"/>
    <mergeCell ref="D1120:D1127"/>
    <mergeCell ref="E1120:E1127"/>
    <mergeCell ref="C1128:C1143"/>
    <mergeCell ref="D1128:D1143"/>
    <mergeCell ref="D1102:D1106"/>
    <mergeCell ref="E1102:E1106"/>
    <mergeCell ref="B1107:B1113"/>
    <mergeCell ref="C1107:C1113"/>
    <mergeCell ref="D1107:D1113"/>
    <mergeCell ref="E1107:E1113"/>
    <mergeCell ref="D1087:D1094"/>
    <mergeCell ref="E1088:E1091"/>
    <mergeCell ref="E1093:E1094"/>
    <mergeCell ref="A1095:A1143"/>
    <mergeCell ref="B1095:B1101"/>
    <mergeCell ref="C1095:C1101"/>
    <mergeCell ref="D1095:D1101"/>
    <mergeCell ref="E1095:E1099"/>
    <mergeCell ref="B1102:B1106"/>
    <mergeCell ref="C1102:C1106"/>
    <mergeCell ref="D1060:D1078"/>
    <mergeCell ref="E1065:E1070"/>
    <mergeCell ref="E1071:E1072"/>
    <mergeCell ref="E1075:E1076"/>
    <mergeCell ref="E1077:E1078"/>
    <mergeCell ref="D1079:D1086"/>
    <mergeCell ref="E1081:E1084"/>
    <mergeCell ref="D1049:D1050"/>
    <mergeCell ref="E1049:E1050"/>
    <mergeCell ref="A1051:A1094"/>
    <mergeCell ref="B1051:B1059"/>
    <mergeCell ref="C1051:C1059"/>
    <mergeCell ref="D1051:D1059"/>
    <mergeCell ref="E1053:E1056"/>
    <mergeCell ref="E1058:E1059"/>
    <mergeCell ref="B1060:B1094"/>
    <mergeCell ref="C1060:C1094"/>
    <mergeCell ref="E1034:E1036"/>
    <mergeCell ref="B1037:B1039"/>
    <mergeCell ref="C1037:C1039"/>
    <mergeCell ref="D1037:D1039"/>
    <mergeCell ref="B1040:B1050"/>
    <mergeCell ref="C1040:C1047"/>
    <mergeCell ref="D1040:D1047"/>
    <mergeCell ref="E1042:E1044"/>
    <mergeCell ref="E1046:E1047"/>
    <mergeCell ref="C1049:C1050"/>
    <mergeCell ref="A1001:A1050"/>
    <mergeCell ref="B1001:B1012"/>
    <mergeCell ref="E1007:E1010"/>
    <mergeCell ref="B1014:B1036"/>
    <mergeCell ref="C1014:C1024"/>
    <mergeCell ref="D1014:D1024"/>
    <mergeCell ref="E1015:E1018"/>
    <mergeCell ref="E1021:E1022"/>
    <mergeCell ref="E1023:E1024"/>
    <mergeCell ref="C1025:C1036"/>
    <mergeCell ref="E987:E988"/>
    <mergeCell ref="E990:E991"/>
    <mergeCell ref="D992:D996"/>
    <mergeCell ref="E992:E993"/>
    <mergeCell ref="E994:E995"/>
    <mergeCell ref="C997:C1000"/>
    <mergeCell ref="D997:D999"/>
    <mergeCell ref="E998:E999"/>
    <mergeCell ref="B969:B1000"/>
    <mergeCell ref="C969:C996"/>
    <mergeCell ref="D969:D970"/>
    <mergeCell ref="D971:D974"/>
    <mergeCell ref="E972:E974"/>
    <mergeCell ref="D975:D977"/>
    <mergeCell ref="E976:E977"/>
    <mergeCell ref="D978:D991"/>
    <mergeCell ref="E979:E981"/>
    <mergeCell ref="E983:E984"/>
    <mergeCell ref="B952:B968"/>
    <mergeCell ref="C952:C957"/>
    <mergeCell ref="D952:D957"/>
    <mergeCell ref="E952:E956"/>
    <mergeCell ref="C958:C959"/>
    <mergeCell ref="D958:D959"/>
    <mergeCell ref="C960:C967"/>
    <mergeCell ref="D960:D967"/>
    <mergeCell ref="E961:E965"/>
    <mergeCell ref="E934:E937"/>
    <mergeCell ref="E938:E939"/>
    <mergeCell ref="D943:D945"/>
    <mergeCell ref="D946:D951"/>
    <mergeCell ref="E947:E948"/>
    <mergeCell ref="E950:E951"/>
    <mergeCell ref="B923:B926"/>
    <mergeCell ref="C923:C926"/>
    <mergeCell ref="D923:D924"/>
    <mergeCell ref="D925:D926"/>
    <mergeCell ref="B927:B951"/>
    <mergeCell ref="C927:C951"/>
    <mergeCell ref="D927:D932"/>
    <mergeCell ref="D933:D942"/>
    <mergeCell ref="B907:B916"/>
    <mergeCell ref="C907:C916"/>
    <mergeCell ref="D907:D916"/>
    <mergeCell ref="B917:B922"/>
    <mergeCell ref="C917:C922"/>
    <mergeCell ref="D917:D922"/>
    <mergeCell ref="D877:D878"/>
    <mergeCell ref="C879:C892"/>
    <mergeCell ref="D879:D881"/>
    <mergeCell ref="E880:E881"/>
    <mergeCell ref="D882:D885"/>
    <mergeCell ref="E883:E885"/>
    <mergeCell ref="D886:D889"/>
    <mergeCell ref="E886:E887"/>
    <mergeCell ref="D890:D891"/>
    <mergeCell ref="E864:E865"/>
    <mergeCell ref="D866:D868"/>
    <mergeCell ref="E867:E868"/>
    <mergeCell ref="E870:E871"/>
    <mergeCell ref="C872:C876"/>
    <mergeCell ref="D872:D874"/>
    <mergeCell ref="E873:E874"/>
    <mergeCell ref="D875:D876"/>
    <mergeCell ref="D869:D871"/>
    <mergeCell ref="D854:D856"/>
    <mergeCell ref="E855:E856"/>
    <mergeCell ref="B857:B862"/>
    <mergeCell ref="C857:C858"/>
    <mergeCell ref="C859:C862"/>
    <mergeCell ref="D859:D862"/>
    <mergeCell ref="E860:E862"/>
    <mergeCell ref="B836:B840"/>
    <mergeCell ref="C836:C840"/>
    <mergeCell ref="D836:D838"/>
    <mergeCell ref="D839:D840"/>
    <mergeCell ref="A841:A905"/>
    <mergeCell ref="B842:B856"/>
    <mergeCell ref="C842:C849"/>
    <mergeCell ref="D845:D846"/>
    <mergeCell ref="D847:D849"/>
    <mergeCell ref="C850:C851"/>
    <mergeCell ref="A820:A840"/>
    <mergeCell ref="B820:B827"/>
    <mergeCell ref="C820:C827"/>
    <mergeCell ref="D820:D827"/>
    <mergeCell ref="E821:E822"/>
    <mergeCell ref="B828:B834"/>
    <mergeCell ref="C828:C834"/>
    <mergeCell ref="D828:D834"/>
    <mergeCell ref="E830:E831"/>
    <mergeCell ref="E833:E834"/>
    <mergeCell ref="D811:D813"/>
    <mergeCell ref="A814:A819"/>
    <mergeCell ref="B814:B817"/>
    <mergeCell ref="C814:C817"/>
    <mergeCell ref="D814:D817"/>
    <mergeCell ref="E815:E817"/>
    <mergeCell ref="B818:B819"/>
    <mergeCell ref="C818:C819"/>
    <mergeCell ref="D818:D819"/>
    <mergeCell ref="E818:E819"/>
    <mergeCell ref="E790:E791"/>
    <mergeCell ref="D792:D795"/>
    <mergeCell ref="E793:E795"/>
    <mergeCell ref="B796:B813"/>
    <mergeCell ref="C796:C810"/>
    <mergeCell ref="D796:D799"/>
    <mergeCell ref="D800:D802"/>
    <mergeCell ref="D803:D805"/>
    <mergeCell ref="D806:D810"/>
    <mergeCell ref="C811:C813"/>
    <mergeCell ref="B786:B787"/>
    <mergeCell ref="C786:C787"/>
    <mergeCell ref="D786:D787"/>
    <mergeCell ref="B789:B795"/>
    <mergeCell ref="C789:C795"/>
    <mergeCell ref="D789:D791"/>
    <mergeCell ref="B775:B785"/>
    <mergeCell ref="C775:C785"/>
    <mergeCell ref="D775:D785"/>
    <mergeCell ref="E775:E776"/>
    <mergeCell ref="E777:E778"/>
    <mergeCell ref="E779:E781"/>
    <mergeCell ref="E784:E785"/>
    <mergeCell ref="B768:B771"/>
    <mergeCell ref="C768:C771"/>
    <mergeCell ref="E768:E771"/>
    <mergeCell ref="B772:B774"/>
    <mergeCell ref="C772:C774"/>
    <mergeCell ref="D772:D774"/>
    <mergeCell ref="E772:E774"/>
    <mergeCell ref="B761:B763"/>
    <mergeCell ref="C761:C763"/>
    <mergeCell ref="D761:D763"/>
    <mergeCell ref="E761:E763"/>
    <mergeCell ref="B764:B767"/>
    <mergeCell ref="C764:C767"/>
    <mergeCell ref="D764:D767"/>
    <mergeCell ref="E764:E767"/>
    <mergeCell ref="C741:C756"/>
    <mergeCell ref="D741:D756"/>
    <mergeCell ref="E742:E746"/>
    <mergeCell ref="E747:E749"/>
    <mergeCell ref="E755:E756"/>
    <mergeCell ref="B758:B760"/>
    <mergeCell ref="C758:C760"/>
    <mergeCell ref="D758:D760"/>
    <mergeCell ref="E758:E760"/>
    <mergeCell ref="D699:D706"/>
    <mergeCell ref="E699:E700"/>
    <mergeCell ref="E701:E703"/>
    <mergeCell ref="B708:B757"/>
    <mergeCell ref="C708:C740"/>
    <mergeCell ref="D708:D723"/>
    <mergeCell ref="E712:E715"/>
    <mergeCell ref="E716:E718"/>
    <mergeCell ref="E720:E721"/>
    <mergeCell ref="E722:E723"/>
    <mergeCell ref="D673:D694"/>
    <mergeCell ref="E678:E684"/>
    <mergeCell ref="E685:E688"/>
    <mergeCell ref="E690:E691"/>
    <mergeCell ref="E693:E694"/>
    <mergeCell ref="B695:B707"/>
    <mergeCell ref="C695:C698"/>
    <mergeCell ref="D695:D698"/>
    <mergeCell ref="E697:E698"/>
    <mergeCell ref="C699:C706"/>
    <mergeCell ref="B654:B658"/>
    <mergeCell ref="C654:C658"/>
    <mergeCell ref="D654:D658"/>
    <mergeCell ref="E655:E658"/>
    <mergeCell ref="B659:B672"/>
    <mergeCell ref="C659:C672"/>
    <mergeCell ref="D659:D672"/>
    <mergeCell ref="E661:E668"/>
    <mergeCell ref="E669:E672"/>
    <mergeCell ref="C632:C634"/>
    <mergeCell ref="D632:D634"/>
    <mergeCell ref="B635:B647"/>
    <mergeCell ref="C635:C647"/>
    <mergeCell ref="D635:D647"/>
    <mergeCell ref="E637:E643"/>
    <mergeCell ref="E644:E646"/>
    <mergeCell ref="A619:A620"/>
    <mergeCell ref="B619:B620"/>
    <mergeCell ref="C619:C620"/>
    <mergeCell ref="D619:D620"/>
    <mergeCell ref="A621:A785"/>
    <mergeCell ref="B621:B631"/>
    <mergeCell ref="C621:C631"/>
    <mergeCell ref="D621:D629"/>
    <mergeCell ref="B648:B653"/>
    <mergeCell ref="C648:C653"/>
    <mergeCell ref="A598:A618"/>
    <mergeCell ref="B607:B609"/>
    <mergeCell ref="C607:C609"/>
    <mergeCell ref="D607:D609"/>
    <mergeCell ref="E607:E608"/>
    <mergeCell ref="B610:B612"/>
    <mergeCell ref="C610:C612"/>
    <mergeCell ref="D610:D612"/>
    <mergeCell ref="B613:B618"/>
    <mergeCell ref="C613:C618"/>
    <mergeCell ref="B598:B604"/>
    <mergeCell ref="C598:C604"/>
    <mergeCell ref="D598:D604"/>
    <mergeCell ref="E600:E603"/>
    <mergeCell ref="B605:B606"/>
    <mergeCell ref="C605:C606"/>
    <mergeCell ref="D605:D606"/>
    <mergeCell ref="E605:E606"/>
    <mergeCell ref="B587:B597"/>
    <mergeCell ref="C587:C596"/>
    <mergeCell ref="D588:D595"/>
    <mergeCell ref="E588:E589"/>
    <mergeCell ref="E591:E592"/>
    <mergeCell ref="E593:E594"/>
    <mergeCell ref="E564:E566"/>
    <mergeCell ref="C568:C582"/>
    <mergeCell ref="D568:D569"/>
    <mergeCell ref="D570:D576"/>
    <mergeCell ref="E570:E571"/>
    <mergeCell ref="E572:E573"/>
    <mergeCell ref="E575:E576"/>
    <mergeCell ref="D577:D578"/>
    <mergeCell ref="D579:D580"/>
    <mergeCell ref="B556:B557"/>
    <mergeCell ref="C556:C557"/>
    <mergeCell ref="B558:B584"/>
    <mergeCell ref="C558:C562"/>
    <mergeCell ref="D558:D561"/>
    <mergeCell ref="C564:C567"/>
    <mergeCell ref="D564:D567"/>
    <mergeCell ref="C583:C584"/>
    <mergeCell ref="C526:C529"/>
    <mergeCell ref="D526:D529"/>
    <mergeCell ref="E528:E529"/>
    <mergeCell ref="B530:B544"/>
    <mergeCell ref="C531:C538"/>
    <mergeCell ref="D531:D538"/>
    <mergeCell ref="E531:E533"/>
    <mergeCell ref="E534:E535"/>
    <mergeCell ref="D541:D542"/>
    <mergeCell ref="E541:E542"/>
    <mergeCell ref="C515:C518"/>
    <mergeCell ref="D515:D518"/>
    <mergeCell ref="E516:E518"/>
    <mergeCell ref="A519:A544"/>
    <mergeCell ref="B519:B525"/>
    <mergeCell ref="C519:C525"/>
    <mergeCell ref="D519:D525"/>
    <mergeCell ref="E519:E522"/>
    <mergeCell ref="E523:E524"/>
    <mergeCell ref="B526:B529"/>
    <mergeCell ref="D494:D497"/>
    <mergeCell ref="E496:E497"/>
    <mergeCell ref="D498:D501"/>
    <mergeCell ref="E499:E501"/>
    <mergeCell ref="D511:D514"/>
    <mergeCell ref="E512:E514"/>
    <mergeCell ref="D485:D488"/>
    <mergeCell ref="E463:E466"/>
    <mergeCell ref="E467:E469"/>
    <mergeCell ref="E471:E473"/>
    <mergeCell ref="A489:A518"/>
    <mergeCell ref="B489:B518"/>
    <mergeCell ref="C489:C510"/>
    <mergeCell ref="D489:D493"/>
    <mergeCell ref="E490:E491"/>
    <mergeCell ref="E492:E493"/>
    <mergeCell ref="E475:E477"/>
    <mergeCell ref="B455:B456"/>
    <mergeCell ref="C455:C456"/>
    <mergeCell ref="D455:D456"/>
    <mergeCell ref="E461:E462"/>
    <mergeCell ref="B478:B488"/>
    <mergeCell ref="C478:C484"/>
    <mergeCell ref="D478:D479"/>
    <mergeCell ref="D480:D483"/>
    <mergeCell ref="C485:C488"/>
    <mergeCell ref="D450:D453"/>
    <mergeCell ref="B459:B477"/>
    <mergeCell ref="C459:C473"/>
    <mergeCell ref="D459:D473"/>
    <mergeCell ref="B434:B453"/>
    <mergeCell ref="C434:C453"/>
    <mergeCell ref="D434:D441"/>
    <mergeCell ref="C474:C477"/>
    <mergeCell ref="D474:D477"/>
    <mergeCell ref="E439:E440"/>
    <mergeCell ref="D442:D444"/>
    <mergeCell ref="E443:E444"/>
    <mergeCell ref="D445:D449"/>
    <mergeCell ref="E446:E447"/>
    <mergeCell ref="E448:E449"/>
    <mergeCell ref="E452:E453"/>
    <mergeCell ref="B416:B422"/>
    <mergeCell ref="C416:C422"/>
    <mergeCell ref="D416:D422"/>
    <mergeCell ref="E417:E421"/>
    <mergeCell ref="D423:D426"/>
    <mergeCell ref="B427:B433"/>
    <mergeCell ref="C427:C433"/>
    <mergeCell ref="D427:D433"/>
    <mergeCell ref="E428:E431"/>
    <mergeCell ref="B388:B393"/>
    <mergeCell ref="C388:C392"/>
    <mergeCell ref="D388:D389"/>
    <mergeCell ref="D390:D391"/>
    <mergeCell ref="A394:A488"/>
    <mergeCell ref="B394:B415"/>
    <mergeCell ref="C394:C415"/>
    <mergeCell ref="D394:D415"/>
    <mergeCell ref="B423:B426"/>
    <mergeCell ref="C423:C426"/>
    <mergeCell ref="C362:C364"/>
    <mergeCell ref="D362:D364"/>
    <mergeCell ref="E363:E364"/>
    <mergeCell ref="C365:C387"/>
    <mergeCell ref="D365:D368"/>
    <mergeCell ref="E366:E368"/>
    <mergeCell ref="D369:D373"/>
    <mergeCell ref="E371:E373"/>
    <mergeCell ref="D374:D377"/>
    <mergeCell ref="E375:E377"/>
    <mergeCell ref="D347:D350"/>
    <mergeCell ref="E348:E350"/>
    <mergeCell ref="C351:C355"/>
    <mergeCell ref="D352:D355"/>
    <mergeCell ref="E353:E355"/>
    <mergeCell ref="C356:C361"/>
    <mergeCell ref="D356:D361"/>
    <mergeCell ref="E359:E361"/>
    <mergeCell ref="B333:B334"/>
    <mergeCell ref="C333:C334"/>
    <mergeCell ref="B335:B387"/>
    <mergeCell ref="C335:C350"/>
    <mergeCell ref="D335:D341"/>
    <mergeCell ref="E335:E336"/>
    <mergeCell ref="E337:E338"/>
    <mergeCell ref="E339:E341"/>
    <mergeCell ref="D342:D346"/>
    <mergeCell ref="E344:E346"/>
    <mergeCell ref="D321:D324"/>
    <mergeCell ref="E322:E324"/>
    <mergeCell ref="D325:D328"/>
    <mergeCell ref="E326:E328"/>
    <mergeCell ref="C329:C332"/>
    <mergeCell ref="D329:D332"/>
    <mergeCell ref="E330:E332"/>
    <mergeCell ref="C317:C328"/>
    <mergeCell ref="D317:D320"/>
    <mergeCell ref="B307:B332"/>
    <mergeCell ref="C307:C310"/>
    <mergeCell ref="D307:D310"/>
    <mergeCell ref="E308:E310"/>
    <mergeCell ref="C311:C314"/>
    <mergeCell ref="D311:D314"/>
    <mergeCell ref="E312:E314"/>
    <mergeCell ref="C315:C316"/>
    <mergeCell ref="D315:D316"/>
    <mergeCell ref="E318:E320"/>
    <mergeCell ref="D289:D290"/>
    <mergeCell ref="D291:D295"/>
    <mergeCell ref="E291:E292"/>
    <mergeCell ref="E293:E294"/>
    <mergeCell ref="B299:B306"/>
    <mergeCell ref="C299:C306"/>
    <mergeCell ref="D299:D302"/>
    <mergeCell ref="E300:E302"/>
    <mergeCell ref="D303:D306"/>
    <mergeCell ref="E304:E306"/>
    <mergeCell ref="A279:A298"/>
    <mergeCell ref="B280:B281"/>
    <mergeCell ref="C280:C281"/>
    <mergeCell ref="D280:D281"/>
    <mergeCell ref="E280:E281"/>
    <mergeCell ref="B282:B298"/>
    <mergeCell ref="C283:C297"/>
    <mergeCell ref="D296:D297"/>
    <mergeCell ref="D283:D288"/>
    <mergeCell ref="E283:E287"/>
    <mergeCell ref="B258:B267"/>
    <mergeCell ref="C258:C267"/>
    <mergeCell ref="D258:D267"/>
    <mergeCell ref="E264:E265"/>
    <mergeCell ref="E266:E267"/>
    <mergeCell ref="A268:A278"/>
    <mergeCell ref="E259:E263"/>
    <mergeCell ref="A148:A267"/>
    <mergeCell ref="E149:E150"/>
    <mergeCell ref="D223:D231"/>
    <mergeCell ref="C232:C249"/>
    <mergeCell ref="D232:D249"/>
    <mergeCell ref="E235:E241"/>
    <mergeCell ref="E242:E244"/>
    <mergeCell ref="E248:E249"/>
    <mergeCell ref="C250:C257"/>
    <mergeCell ref="D250:D257"/>
    <mergeCell ref="E251:E255"/>
    <mergeCell ref="E246:E247"/>
    <mergeCell ref="B197:B257"/>
    <mergeCell ref="C197:C211"/>
    <mergeCell ref="D197:D204"/>
    <mergeCell ref="E197:E202"/>
    <mergeCell ref="D205:D211"/>
    <mergeCell ref="E205:E210"/>
    <mergeCell ref="C212:C231"/>
    <mergeCell ref="D212:D222"/>
    <mergeCell ref="E213:E218"/>
    <mergeCell ref="E219:E221"/>
    <mergeCell ref="E185:E186"/>
    <mergeCell ref="B188:B192"/>
    <mergeCell ref="C188:C191"/>
    <mergeCell ref="D188:D191"/>
    <mergeCell ref="E189:E191"/>
    <mergeCell ref="B193:B196"/>
    <mergeCell ref="C193:C196"/>
    <mergeCell ref="D193:D196"/>
    <mergeCell ref="B179:B182"/>
    <mergeCell ref="C179:C182"/>
    <mergeCell ref="D179:D182"/>
    <mergeCell ref="B183:B187"/>
    <mergeCell ref="C183:C187"/>
    <mergeCell ref="D183:D187"/>
    <mergeCell ref="B172:B175"/>
    <mergeCell ref="C172:C175"/>
    <mergeCell ref="D172:D175"/>
    <mergeCell ref="E174:E175"/>
    <mergeCell ref="B176:B178"/>
    <mergeCell ref="C176:C178"/>
    <mergeCell ref="D176:D178"/>
    <mergeCell ref="E156:E160"/>
    <mergeCell ref="C162:C168"/>
    <mergeCell ref="D162:D168"/>
    <mergeCell ref="E164:E165"/>
    <mergeCell ref="E166:E167"/>
    <mergeCell ref="B170:B171"/>
    <mergeCell ref="C170:C171"/>
    <mergeCell ref="D170:D171"/>
    <mergeCell ref="E136:E139"/>
    <mergeCell ref="B140:B145"/>
    <mergeCell ref="C140:C143"/>
    <mergeCell ref="D140:D143"/>
    <mergeCell ref="E140:E143"/>
    <mergeCell ref="C144:C145"/>
    <mergeCell ref="D144:D145"/>
    <mergeCell ref="E144:E145"/>
    <mergeCell ref="A129:A147"/>
    <mergeCell ref="B130:B139"/>
    <mergeCell ref="C130:C133"/>
    <mergeCell ref="D131:D133"/>
    <mergeCell ref="C136:C139"/>
    <mergeCell ref="D136:D139"/>
    <mergeCell ref="D115:D116"/>
    <mergeCell ref="B117:B121"/>
    <mergeCell ref="C117:C120"/>
    <mergeCell ref="D117:D120"/>
    <mergeCell ref="E118:E120"/>
    <mergeCell ref="B122:B128"/>
    <mergeCell ref="C122:C128"/>
    <mergeCell ref="D122:D128"/>
    <mergeCell ref="E124:E126"/>
    <mergeCell ref="B101:B114"/>
    <mergeCell ref="C101:C105"/>
    <mergeCell ref="D101:D105"/>
    <mergeCell ref="E101:E105"/>
    <mergeCell ref="C106:C114"/>
    <mergeCell ref="D106:D114"/>
    <mergeCell ref="E107:E108"/>
    <mergeCell ref="E109:E111"/>
    <mergeCell ref="E112:E113"/>
    <mergeCell ref="E75:E76"/>
    <mergeCell ref="C77:C78"/>
    <mergeCell ref="D77:D78"/>
    <mergeCell ref="A86:A87"/>
    <mergeCell ref="B86:B87"/>
    <mergeCell ref="A88:A128"/>
    <mergeCell ref="B88:B98"/>
    <mergeCell ref="C88:C98"/>
    <mergeCell ref="D88:D98"/>
    <mergeCell ref="B99:B100"/>
    <mergeCell ref="E54:E56"/>
    <mergeCell ref="C57:C66"/>
    <mergeCell ref="D57:D60"/>
    <mergeCell ref="E58:E60"/>
    <mergeCell ref="D61:D64"/>
    <mergeCell ref="E62:E64"/>
    <mergeCell ref="D65:D66"/>
    <mergeCell ref="C53:C56"/>
    <mergeCell ref="D53:D56"/>
    <mergeCell ref="A40:A45"/>
    <mergeCell ref="B41:B44"/>
    <mergeCell ref="C41:C44"/>
    <mergeCell ref="D41:D44"/>
    <mergeCell ref="E43:E44"/>
    <mergeCell ref="A47:A85"/>
    <mergeCell ref="B47:B68"/>
    <mergeCell ref="C47:C52"/>
    <mergeCell ref="D47:D48"/>
    <mergeCell ref="D49:D50"/>
    <mergeCell ref="D26:D30"/>
    <mergeCell ref="E28:E30"/>
    <mergeCell ref="C31:C39"/>
    <mergeCell ref="D31:D33"/>
    <mergeCell ref="E32:E33"/>
    <mergeCell ref="D34:D36"/>
    <mergeCell ref="E35:E36"/>
    <mergeCell ref="D37:D38"/>
    <mergeCell ref="A14:A39"/>
    <mergeCell ref="B15:B39"/>
    <mergeCell ref="C15:C25"/>
    <mergeCell ref="D15:D18"/>
    <mergeCell ref="E17:E18"/>
    <mergeCell ref="D19:D22"/>
    <mergeCell ref="E20:E22"/>
    <mergeCell ref="D23:D25"/>
    <mergeCell ref="E24:E25"/>
    <mergeCell ref="C26:C30"/>
    <mergeCell ref="E1330:E1331"/>
    <mergeCell ref="E1333:E1334"/>
    <mergeCell ref="B1336:B1337"/>
    <mergeCell ref="C1336:C1337"/>
    <mergeCell ref="B1270:B1316"/>
    <mergeCell ref="C1270:C1285"/>
    <mergeCell ref="D1270:D1278"/>
    <mergeCell ref="C1308:C1316"/>
    <mergeCell ref="E1270:E1275"/>
    <mergeCell ref="D1279:D1285"/>
    <mergeCell ref="E1184:E1190"/>
    <mergeCell ref="E1191:E1192"/>
    <mergeCell ref="D1156:D1165"/>
    <mergeCell ref="E1157:E1161"/>
    <mergeCell ref="D1025:D1036"/>
    <mergeCell ref="C1001:C1012"/>
    <mergeCell ref="D1001:D1012"/>
    <mergeCell ref="E1002:E1004"/>
    <mergeCell ref="E1026:E1028"/>
    <mergeCell ref="E1031:E1033"/>
    <mergeCell ref="E927:E928"/>
    <mergeCell ref="E914:E915"/>
    <mergeCell ref="E908:E910"/>
    <mergeCell ref="E917:E922"/>
    <mergeCell ref="B893:B905"/>
    <mergeCell ref="C893:C895"/>
    <mergeCell ref="D893:D895"/>
    <mergeCell ref="C897:C905"/>
    <mergeCell ref="D897:D898"/>
    <mergeCell ref="D900:D903"/>
    <mergeCell ref="B863:B892"/>
    <mergeCell ref="C863:C871"/>
    <mergeCell ref="D863:D865"/>
    <mergeCell ref="C877:C878"/>
    <mergeCell ref="E843:E844"/>
    <mergeCell ref="E848:E849"/>
    <mergeCell ref="D850:D851"/>
    <mergeCell ref="C852:C856"/>
    <mergeCell ref="D842:D844"/>
    <mergeCell ref="D852:D853"/>
    <mergeCell ref="E824:E825"/>
    <mergeCell ref="E806:E807"/>
    <mergeCell ref="A786:A813"/>
    <mergeCell ref="D768:D771"/>
    <mergeCell ref="E753:E754"/>
    <mergeCell ref="D724:D740"/>
    <mergeCell ref="E724:E726"/>
    <mergeCell ref="E736:E737"/>
    <mergeCell ref="E727:E730"/>
    <mergeCell ref="E731:E733"/>
    <mergeCell ref="E675:E676"/>
    <mergeCell ref="B673:B694"/>
    <mergeCell ref="C673:C694"/>
    <mergeCell ref="D648:D653"/>
    <mergeCell ref="E649:E652"/>
    <mergeCell ref="D613:D618"/>
    <mergeCell ref="E614:E618"/>
    <mergeCell ref="E622:E627"/>
    <mergeCell ref="D630:D631"/>
    <mergeCell ref="B632:B634"/>
    <mergeCell ref="A585:A597"/>
    <mergeCell ref="B585:B586"/>
    <mergeCell ref="D581:D582"/>
    <mergeCell ref="A545:A584"/>
    <mergeCell ref="B545:B555"/>
    <mergeCell ref="C545:C555"/>
    <mergeCell ref="D545:D555"/>
    <mergeCell ref="D583:D584"/>
    <mergeCell ref="C585:C586"/>
    <mergeCell ref="D585:D586"/>
    <mergeCell ref="E547:E551"/>
    <mergeCell ref="E552:E554"/>
    <mergeCell ref="C540:C543"/>
    <mergeCell ref="E504:E505"/>
    <mergeCell ref="E482:E483"/>
    <mergeCell ref="E485:E486"/>
    <mergeCell ref="D503:D510"/>
    <mergeCell ref="E506:E507"/>
    <mergeCell ref="E508:E509"/>
    <mergeCell ref="C511:C514"/>
    <mergeCell ref="E437:E438"/>
    <mergeCell ref="D378:D382"/>
    <mergeCell ref="E380:E382"/>
    <mergeCell ref="D383:D386"/>
    <mergeCell ref="E384:E386"/>
    <mergeCell ref="E399:E405"/>
    <mergeCell ref="E406:E409"/>
    <mergeCell ref="E411:E413"/>
    <mergeCell ref="E414:E415"/>
    <mergeCell ref="E223:E229"/>
    <mergeCell ref="B155:B168"/>
    <mergeCell ref="C155:C161"/>
    <mergeCell ref="D155:D161"/>
    <mergeCell ref="B146:B147"/>
    <mergeCell ref="C146:C147"/>
    <mergeCell ref="D146:D147"/>
    <mergeCell ref="B148:B151"/>
    <mergeCell ref="C148:C151"/>
    <mergeCell ref="D148:D151"/>
    <mergeCell ref="B152:B154"/>
    <mergeCell ref="C152:C154"/>
    <mergeCell ref="D152:D154"/>
    <mergeCell ref="B115:B116"/>
    <mergeCell ref="C115:C116"/>
    <mergeCell ref="E91:E93"/>
    <mergeCell ref="E94:E95"/>
    <mergeCell ref="E97:E98"/>
    <mergeCell ref="C99:C100"/>
    <mergeCell ref="D99:D100"/>
    <mergeCell ref="E83:E84"/>
    <mergeCell ref="E88:E89"/>
    <mergeCell ref="C79:C84"/>
    <mergeCell ref="D79:D81"/>
    <mergeCell ref="E80:E81"/>
    <mergeCell ref="D82:D84"/>
    <mergeCell ref="C70:C76"/>
    <mergeCell ref="D70:D71"/>
    <mergeCell ref="D72:D73"/>
    <mergeCell ref="D74:D76"/>
    <mergeCell ref="A3:H3"/>
    <mergeCell ref="A4:H4"/>
    <mergeCell ref="C67:C68"/>
    <mergeCell ref="D67:D68"/>
    <mergeCell ref="B70:B84"/>
    <mergeCell ref="D51:D52"/>
    <mergeCell ref="A1:B1"/>
    <mergeCell ref="D1:G1"/>
    <mergeCell ref="A9:A12"/>
    <mergeCell ref="B9:B11"/>
    <mergeCell ref="A906:A1000"/>
    <mergeCell ref="A1182:A1337"/>
    <mergeCell ref="A299:A393"/>
    <mergeCell ref="C9:C11"/>
    <mergeCell ref="D9:D11"/>
    <mergeCell ref="E10:E11"/>
  </mergeCells>
  <printOptions horizontalCentered="1"/>
  <pageMargins left="0.5" right="0.2" top="0.7" bottom="0.5" header="0.31496062992126" footer="0.31496062992126"/>
  <pageSetup horizontalDpi="600" verticalDpi="600" orientation="portrait" paperSize="9" scale="75" r:id="rId1"/>
  <headerFooter differentFirst="1">
    <oddHeader>&amp;C&amp;"Times New Roman,Regular"&amp;P</oddHeader>
  </headerFooter>
</worksheet>
</file>

<file path=xl/worksheets/sheet9.xml><?xml version="1.0" encoding="utf-8"?>
<worksheet xmlns="http://schemas.openxmlformats.org/spreadsheetml/2006/main" xmlns:r="http://schemas.openxmlformats.org/officeDocument/2006/relationships">
  <dimension ref="A1:N104"/>
  <sheetViews>
    <sheetView workbookViewId="0" topLeftCell="A1">
      <selection activeCell="A95" sqref="A95:IV105"/>
    </sheetView>
  </sheetViews>
  <sheetFormatPr defaultColWidth="9.140625" defaultRowHeight="15"/>
  <cols>
    <col min="1" max="1" width="6.8515625" style="427" customWidth="1"/>
    <col min="2" max="2" width="46.8515625" style="427" customWidth="1"/>
    <col min="3" max="3" width="12.421875" style="427" customWidth="1"/>
    <col min="4" max="6" width="12.28125" style="427" customWidth="1"/>
    <col min="7" max="7" width="10.421875" style="427" customWidth="1"/>
    <col min="8" max="16384" width="9.140625" style="427" customWidth="1"/>
  </cols>
  <sheetData>
    <row r="1" spans="1:7" ht="15">
      <c r="A1" s="545" t="s">
        <v>0</v>
      </c>
      <c r="B1" s="545"/>
      <c r="C1" s="104"/>
      <c r="D1" s="104"/>
      <c r="E1" s="104"/>
      <c r="F1" s="105"/>
      <c r="G1" s="106" t="s">
        <v>290</v>
      </c>
    </row>
    <row r="2" spans="1:9" ht="36.75" customHeight="1">
      <c r="A2" s="546" t="s">
        <v>748</v>
      </c>
      <c r="B2" s="546"/>
      <c r="C2" s="546"/>
      <c r="D2" s="546"/>
      <c r="E2" s="546"/>
      <c r="F2" s="546"/>
      <c r="G2" s="546"/>
      <c r="H2" s="75"/>
      <c r="I2" s="75"/>
    </row>
    <row r="3" spans="1:9" ht="15">
      <c r="A3" s="547" t="str">
        <f>'65'!A4:H4</f>
        <v>(Kèm theo Báo cáo số  571 /BC-UBND ngày  10  tháng 11 năm 2023 của Ủy ban nhân dân tỉnh)</v>
      </c>
      <c r="B3" s="547"/>
      <c r="C3" s="547"/>
      <c r="D3" s="547"/>
      <c r="E3" s="547"/>
      <c r="F3" s="547"/>
      <c r="G3" s="547"/>
      <c r="H3" s="75"/>
      <c r="I3" s="75"/>
    </row>
    <row r="4" spans="1:9" ht="15">
      <c r="A4" s="104"/>
      <c r="B4" s="107"/>
      <c r="C4" s="107"/>
      <c r="D4" s="76"/>
      <c r="E4" s="104"/>
      <c r="F4" s="108"/>
      <c r="G4" s="109" t="s">
        <v>2</v>
      </c>
      <c r="H4" s="75"/>
      <c r="I4" s="75"/>
    </row>
    <row r="5" spans="1:7" ht="14.25">
      <c r="A5" s="543" t="s">
        <v>48</v>
      </c>
      <c r="B5" s="543" t="s">
        <v>49</v>
      </c>
      <c r="C5" s="536" t="s">
        <v>180</v>
      </c>
      <c r="D5" s="537" t="s">
        <v>291</v>
      </c>
      <c r="E5" s="538"/>
      <c r="F5" s="539"/>
      <c r="G5" s="543" t="s">
        <v>232</v>
      </c>
    </row>
    <row r="6" spans="1:7" ht="39" customHeight="1">
      <c r="A6" s="544"/>
      <c r="B6" s="544"/>
      <c r="C6" s="536"/>
      <c r="D6" s="77" t="s">
        <v>761</v>
      </c>
      <c r="E6" s="77" t="s">
        <v>762</v>
      </c>
      <c r="F6" s="77" t="s">
        <v>763</v>
      </c>
      <c r="G6" s="544"/>
    </row>
    <row r="7" spans="1:7" s="451" customFormat="1" ht="14.25">
      <c r="A7" s="201" t="s">
        <v>15</v>
      </c>
      <c r="B7" s="201" t="s">
        <v>38</v>
      </c>
      <c r="C7" s="201" t="s">
        <v>292</v>
      </c>
      <c r="D7" s="201">
        <v>2</v>
      </c>
      <c r="E7" s="201">
        <v>3</v>
      </c>
      <c r="F7" s="201">
        <v>4</v>
      </c>
      <c r="G7" s="201">
        <v>5</v>
      </c>
    </row>
    <row r="8" spans="1:14" ht="24" customHeight="1">
      <c r="A8" s="452"/>
      <c r="B8" s="453" t="s">
        <v>293</v>
      </c>
      <c r="C8" s="347">
        <f>C9+C10+C79+C83+C91</f>
        <v>141142.97901500002</v>
      </c>
      <c r="D8" s="347">
        <f>D9+D10+D79+D83+D91</f>
        <v>16499</v>
      </c>
      <c r="E8" s="454">
        <f>E9+E10+E79+E83+E91</f>
        <v>79143.649795</v>
      </c>
      <c r="F8" s="454">
        <f>F9+F10+F79+F83+F91</f>
        <v>45500.32922</v>
      </c>
      <c r="G8" s="455"/>
      <c r="I8" s="78"/>
      <c r="M8" s="78"/>
      <c r="N8" s="78"/>
    </row>
    <row r="9" spans="1:14" ht="15">
      <c r="A9" s="456">
        <v>1</v>
      </c>
      <c r="B9" s="457" t="s">
        <v>294</v>
      </c>
      <c r="C9" s="348"/>
      <c r="D9" s="348"/>
      <c r="E9" s="458"/>
      <c r="F9" s="458"/>
      <c r="G9" s="459"/>
      <c r="H9" s="79"/>
      <c r="I9" s="80"/>
      <c r="J9" s="80"/>
      <c r="K9" s="80"/>
      <c r="L9" s="80"/>
      <c r="M9" s="80"/>
      <c r="N9" s="80"/>
    </row>
    <row r="10" spans="1:14" s="461" customFormat="1" ht="15">
      <c r="A10" s="456">
        <v>2</v>
      </c>
      <c r="B10" s="457" t="s">
        <v>295</v>
      </c>
      <c r="C10" s="348">
        <f>SUM(D10:F10)</f>
        <v>118645.26641100002</v>
      </c>
      <c r="D10" s="348">
        <f>SUM(D11:D78)</f>
        <v>0</v>
      </c>
      <c r="E10" s="460">
        <f>SUM(E11:E78)</f>
        <v>75071.68179500001</v>
      </c>
      <c r="F10" s="460">
        <f>SUM(F11:F78)</f>
        <v>43573.584616</v>
      </c>
      <c r="G10" s="459"/>
      <c r="I10" s="177"/>
      <c r="J10" s="178"/>
      <c r="K10" s="80"/>
      <c r="M10" s="80"/>
      <c r="N10" s="80"/>
    </row>
    <row r="11" spans="1:7" ht="78">
      <c r="A11" s="462"/>
      <c r="B11" s="463" t="s">
        <v>411</v>
      </c>
      <c r="C11" s="349">
        <f>SUM(D11:F11)</f>
        <v>1684.6</v>
      </c>
      <c r="D11" s="349"/>
      <c r="E11" s="464"/>
      <c r="F11" s="464">
        <f>1621.6+63</f>
        <v>1684.6</v>
      </c>
      <c r="G11" s="465"/>
    </row>
    <row r="12" spans="1:7" ht="30.75">
      <c r="A12" s="462"/>
      <c r="B12" s="463" t="s">
        <v>760</v>
      </c>
      <c r="C12" s="349">
        <f>SUM(D12:F12)</f>
        <v>14106.686000000002</v>
      </c>
      <c r="D12" s="349"/>
      <c r="E12" s="464">
        <f>116.28+144.615+1588.365+1819.737+163.255+2073.1+2783</f>
        <v>8688.352</v>
      </c>
      <c r="F12" s="464">
        <f>2179.485+622.5+483.038+264.647+1225.701+160+482.963</f>
        <v>5418.334</v>
      </c>
      <c r="G12" s="465"/>
    </row>
    <row r="13" spans="1:7" ht="30.75">
      <c r="A13" s="462"/>
      <c r="B13" s="463" t="s">
        <v>759</v>
      </c>
      <c r="C13" s="349">
        <f>SUM(D13:F13)</f>
        <v>251.889</v>
      </c>
      <c r="D13" s="349"/>
      <c r="E13" s="464">
        <v>210.674</v>
      </c>
      <c r="F13" s="464">
        <v>41.215</v>
      </c>
      <c r="G13" s="465"/>
    </row>
    <row r="14" spans="1:7" ht="30.75">
      <c r="A14" s="462"/>
      <c r="B14" s="463" t="s">
        <v>758</v>
      </c>
      <c r="C14" s="349">
        <f aca="true" t="shared" si="0" ref="C14:C78">SUM(D14:F14)</f>
        <v>569.112</v>
      </c>
      <c r="D14" s="349"/>
      <c r="E14" s="464">
        <v>569.112</v>
      </c>
      <c r="F14" s="464"/>
      <c r="G14" s="465"/>
    </row>
    <row r="15" spans="1:7" ht="62.25">
      <c r="A15" s="462"/>
      <c r="B15" s="463" t="s">
        <v>757</v>
      </c>
      <c r="C15" s="349">
        <f t="shared" si="0"/>
        <v>1667.4039999999998</v>
      </c>
      <c r="D15" s="349"/>
      <c r="E15" s="464"/>
      <c r="F15" s="464">
        <f>579.926+172.069+275.799+177.995+307.124+154.491</f>
        <v>1667.4039999999998</v>
      </c>
      <c r="G15" s="465"/>
    </row>
    <row r="16" spans="1:7" ht="22.5" customHeight="1">
      <c r="A16" s="462"/>
      <c r="B16" s="463" t="s">
        <v>412</v>
      </c>
      <c r="C16" s="349">
        <f t="shared" si="0"/>
        <v>40</v>
      </c>
      <c r="D16" s="349"/>
      <c r="E16" s="464">
        <v>40</v>
      </c>
      <c r="F16" s="464"/>
      <c r="G16" s="465"/>
    </row>
    <row r="17" spans="1:7" ht="30.75">
      <c r="A17" s="462"/>
      <c r="B17" s="463" t="s">
        <v>730</v>
      </c>
      <c r="C17" s="349">
        <f t="shared" si="0"/>
        <v>118</v>
      </c>
      <c r="D17" s="349"/>
      <c r="E17" s="464">
        <f>38+80</f>
        <v>118</v>
      </c>
      <c r="F17" s="464"/>
      <c r="G17" s="465"/>
    </row>
    <row r="18" spans="1:7" ht="30.75">
      <c r="A18" s="462"/>
      <c r="B18" s="463" t="s">
        <v>413</v>
      </c>
      <c r="C18" s="349">
        <f>SUM(D18:F18)</f>
        <v>901.268</v>
      </c>
      <c r="D18" s="349"/>
      <c r="E18" s="464">
        <f>206.84+50+46.428+227</f>
        <v>530.268</v>
      </c>
      <c r="F18" s="464">
        <f>271+100</f>
        <v>371</v>
      </c>
      <c r="G18" s="465"/>
    </row>
    <row r="19" spans="1:7" ht="30.75">
      <c r="A19" s="462"/>
      <c r="B19" s="466" t="s">
        <v>756</v>
      </c>
      <c r="C19" s="349">
        <f t="shared" si="0"/>
        <v>1918.1999999999998</v>
      </c>
      <c r="D19" s="349"/>
      <c r="E19" s="464"/>
      <c r="F19" s="464">
        <f>426+481.8+548.4+462</f>
        <v>1918.1999999999998</v>
      </c>
      <c r="G19" s="465"/>
    </row>
    <row r="20" spans="1:7" ht="15">
      <c r="A20" s="462"/>
      <c r="B20" s="466" t="s">
        <v>414</v>
      </c>
      <c r="C20" s="349">
        <f t="shared" si="0"/>
        <v>444.335</v>
      </c>
      <c r="D20" s="349"/>
      <c r="E20" s="464"/>
      <c r="F20" s="464">
        <v>444.335</v>
      </c>
      <c r="G20" s="465"/>
    </row>
    <row r="21" spans="1:7" ht="15">
      <c r="A21" s="462"/>
      <c r="B21" s="466" t="s">
        <v>415</v>
      </c>
      <c r="C21" s="349">
        <f t="shared" si="0"/>
        <v>237</v>
      </c>
      <c r="D21" s="349"/>
      <c r="E21" s="464"/>
      <c r="F21" s="464">
        <v>237</v>
      </c>
      <c r="G21" s="465"/>
    </row>
    <row r="22" spans="1:7" ht="30.75">
      <c r="A22" s="462"/>
      <c r="B22" s="466" t="s">
        <v>731</v>
      </c>
      <c r="C22" s="349">
        <f t="shared" si="0"/>
        <v>299.135</v>
      </c>
      <c r="D22" s="349"/>
      <c r="E22" s="464">
        <f>85.845+143.654+69.636</f>
        <v>299.135</v>
      </c>
      <c r="F22" s="464"/>
      <c r="G22" s="465"/>
    </row>
    <row r="23" spans="1:7" ht="62.25">
      <c r="A23" s="462"/>
      <c r="B23" s="463" t="s">
        <v>755</v>
      </c>
      <c r="C23" s="349">
        <f t="shared" si="0"/>
        <v>35</v>
      </c>
      <c r="D23" s="349"/>
      <c r="E23" s="464">
        <f>15+20</f>
        <v>35</v>
      </c>
      <c r="F23" s="464"/>
      <c r="G23" s="465"/>
    </row>
    <row r="24" spans="1:7" ht="20.25" customHeight="1">
      <c r="A24" s="462"/>
      <c r="B24" s="463" t="s">
        <v>416</v>
      </c>
      <c r="C24" s="349">
        <f t="shared" si="0"/>
        <v>1360</v>
      </c>
      <c r="D24" s="349"/>
      <c r="E24" s="464">
        <v>960</v>
      </c>
      <c r="F24" s="464">
        <v>400</v>
      </c>
      <c r="G24" s="465"/>
    </row>
    <row r="25" spans="1:7" ht="30.75">
      <c r="A25" s="462"/>
      <c r="B25" s="463" t="s">
        <v>417</v>
      </c>
      <c r="C25" s="349">
        <f t="shared" si="0"/>
        <v>96.63000000000001</v>
      </c>
      <c r="D25" s="349"/>
      <c r="E25" s="464"/>
      <c r="F25" s="464">
        <f>96.23+0.4</f>
        <v>96.63000000000001</v>
      </c>
      <c r="G25" s="465"/>
    </row>
    <row r="26" spans="1:7" ht="30.75">
      <c r="A26" s="462"/>
      <c r="B26" s="463" t="s">
        <v>418</v>
      </c>
      <c r="C26" s="349">
        <f t="shared" si="0"/>
        <v>564.065</v>
      </c>
      <c r="D26" s="349"/>
      <c r="E26" s="464">
        <f>50+195+60+259.065</f>
        <v>564.065</v>
      </c>
      <c r="F26" s="464"/>
      <c r="G26" s="465"/>
    </row>
    <row r="27" spans="1:7" ht="15">
      <c r="A27" s="462"/>
      <c r="B27" s="463" t="s">
        <v>419</v>
      </c>
      <c r="C27" s="349">
        <f t="shared" si="0"/>
        <v>11.61</v>
      </c>
      <c r="D27" s="349"/>
      <c r="E27" s="464">
        <v>11.61</v>
      </c>
      <c r="F27" s="464"/>
      <c r="G27" s="465"/>
    </row>
    <row r="28" spans="1:7" ht="15">
      <c r="A28" s="462"/>
      <c r="B28" s="463" t="s">
        <v>420</v>
      </c>
      <c r="C28" s="349">
        <f>SUM(D28:F28)</f>
        <v>5002.808</v>
      </c>
      <c r="D28" s="349"/>
      <c r="E28" s="464">
        <f>908+1106.71+876+7.45+141+12+72.465+580+25</f>
        <v>3728.625</v>
      </c>
      <c r="F28" s="464">
        <f>442.825+166.358+665</f>
        <v>1274.183</v>
      </c>
      <c r="G28" s="465"/>
    </row>
    <row r="29" spans="1:7" ht="15">
      <c r="A29" s="462"/>
      <c r="B29" s="463" t="s">
        <v>754</v>
      </c>
      <c r="C29" s="349">
        <f>SUM(D29:F29)</f>
        <v>225</v>
      </c>
      <c r="D29" s="349"/>
      <c r="E29" s="464"/>
      <c r="F29" s="464">
        <f>145+80</f>
        <v>225</v>
      </c>
      <c r="G29" s="465"/>
    </row>
    <row r="30" spans="1:7" ht="15">
      <c r="A30" s="462"/>
      <c r="B30" s="463" t="s">
        <v>421</v>
      </c>
      <c r="C30" s="349">
        <f>SUM(D30:F30)</f>
        <v>626</v>
      </c>
      <c r="D30" s="349"/>
      <c r="E30" s="464">
        <v>26</v>
      </c>
      <c r="F30" s="464">
        <v>600</v>
      </c>
      <c r="G30" s="465"/>
    </row>
    <row r="31" spans="1:7" ht="15">
      <c r="A31" s="462"/>
      <c r="B31" s="463" t="s">
        <v>422</v>
      </c>
      <c r="C31" s="349">
        <f t="shared" si="0"/>
        <v>497</v>
      </c>
      <c r="D31" s="349"/>
      <c r="E31" s="464">
        <v>497</v>
      </c>
      <c r="F31" s="464"/>
      <c r="G31" s="465"/>
    </row>
    <row r="32" spans="1:7" ht="15">
      <c r="A32" s="462"/>
      <c r="B32" s="463" t="s">
        <v>423</v>
      </c>
      <c r="C32" s="349">
        <f t="shared" si="0"/>
        <v>70.8</v>
      </c>
      <c r="D32" s="349"/>
      <c r="E32" s="464">
        <v>70.8</v>
      </c>
      <c r="F32" s="464"/>
      <c r="G32" s="465"/>
    </row>
    <row r="33" spans="1:7" ht="15">
      <c r="A33" s="462"/>
      <c r="B33" s="463" t="s">
        <v>424</v>
      </c>
      <c r="C33" s="349">
        <f t="shared" si="0"/>
        <v>300</v>
      </c>
      <c r="D33" s="349"/>
      <c r="E33" s="464">
        <v>300</v>
      </c>
      <c r="F33" s="464"/>
      <c r="G33" s="465"/>
    </row>
    <row r="34" spans="1:7" ht="30.75">
      <c r="A34" s="462"/>
      <c r="B34" s="463" t="s">
        <v>732</v>
      </c>
      <c r="C34" s="349">
        <f t="shared" si="0"/>
        <v>299.632</v>
      </c>
      <c r="D34" s="349"/>
      <c r="E34" s="464">
        <v>299.632</v>
      </c>
      <c r="F34" s="464"/>
      <c r="G34" s="465"/>
    </row>
    <row r="35" spans="1:7" ht="39" customHeight="1">
      <c r="A35" s="462"/>
      <c r="B35" s="467" t="s">
        <v>425</v>
      </c>
      <c r="C35" s="349">
        <f t="shared" si="0"/>
        <v>129.89</v>
      </c>
      <c r="D35" s="349"/>
      <c r="E35" s="464">
        <v>129.89</v>
      </c>
      <c r="F35" s="464"/>
      <c r="G35" s="465"/>
    </row>
    <row r="36" spans="1:7" ht="30.75">
      <c r="A36" s="462"/>
      <c r="B36" s="467" t="s">
        <v>426</v>
      </c>
      <c r="C36" s="349">
        <f t="shared" si="0"/>
        <v>38</v>
      </c>
      <c r="D36" s="349"/>
      <c r="E36" s="464">
        <v>38</v>
      </c>
      <c r="F36" s="464"/>
      <c r="G36" s="465"/>
    </row>
    <row r="37" spans="1:7" ht="30.75">
      <c r="A37" s="462"/>
      <c r="B37" s="463" t="s">
        <v>733</v>
      </c>
      <c r="C37" s="349">
        <f t="shared" si="0"/>
        <v>39.947</v>
      </c>
      <c r="D37" s="349"/>
      <c r="E37" s="464">
        <f>9.947+30</f>
        <v>39.947</v>
      </c>
      <c r="F37" s="464"/>
      <c r="G37" s="465"/>
    </row>
    <row r="38" spans="1:7" ht="15">
      <c r="A38" s="462"/>
      <c r="B38" s="467" t="s">
        <v>427</v>
      </c>
      <c r="C38" s="349">
        <f t="shared" si="0"/>
        <v>13.5</v>
      </c>
      <c r="D38" s="349"/>
      <c r="E38" s="464">
        <v>13.5</v>
      </c>
      <c r="F38" s="464"/>
      <c r="G38" s="465"/>
    </row>
    <row r="39" spans="1:7" ht="15">
      <c r="A39" s="462"/>
      <c r="B39" s="468" t="s">
        <v>428</v>
      </c>
      <c r="C39" s="349">
        <f t="shared" si="0"/>
        <v>919.4760000000001</v>
      </c>
      <c r="D39" s="349"/>
      <c r="E39" s="464">
        <f>42.7+96.403</f>
        <v>139.103</v>
      </c>
      <c r="F39" s="464">
        <f>457.373+323</f>
        <v>780.373</v>
      </c>
      <c r="G39" s="465"/>
    </row>
    <row r="40" spans="1:7" ht="46.5">
      <c r="A40" s="462"/>
      <c r="B40" s="469" t="s">
        <v>734</v>
      </c>
      <c r="C40" s="349">
        <f t="shared" si="0"/>
        <v>128.685</v>
      </c>
      <c r="D40" s="349"/>
      <c r="E40" s="464">
        <f>40+68.685+20</f>
        <v>128.685</v>
      </c>
      <c r="F40" s="464"/>
      <c r="G40" s="465"/>
    </row>
    <row r="41" spans="1:7" ht="27" customHeight="1">
      <c r="A41" s="462"/>
      <c r="B41" s="469" t="s">
        <v>429</v>
      </c>
      <c r="C41" s="349">
        <f t="shared" si="0"/>
        <v>200</v>
      </c>
      <c r="D41" s="349"/>
      <c r="E41" s="464">
        <v>200</v>
      </c>
      <c r="F41" s="464"/>
      <c r="G41" s="465"/>
    </row>
    <row r="42" spans="1:7" ht="30.75">
      <c r="A42" s="462"/>
      <c r="B42" s="470" t="s">
        <v>430</v>
      </c>
      <c r="C42" s="349">
        <f t="shared" si="0"/>
        <v>222.91</v>
      </c>
      <c r="D42" s="349"/>
      <c r="E42" s="464">
        <v>222.91</v>
      </c>
      <c r="F42" s="464"/>
      <c r="G42" s="465"/>
    </row>
    <row r="43" spans="1:7" ht="22.5" customHeight="1">
      <c r="A43" s="462"/>
      <c r="B43" s="463" t="s">
        <v>431</v>
      </c>
      <c r="C43" s="349">
        <f t="shared" si="0"/>
        <v>6311.0848</v>
      </c>
      <c r="D43" s="349"/>
      <c r="E43" s="464">
        <v>-104.6</v>
      </c>
      <c r="F43" s="464">
        <f>3783.46+1775.2278+856.997</f>
        <v>6415.6848</v>
      </c>
      <c r="G43" s="465"/>
    </row>
    <row r="44" spans="1:10" ht="23.25" customHeight="1">
      <c r="A44" s="462"/>
      <c r="B44" s="463" t="s">
        <v>432</v>
      </c>
      <c r="C44" s="349">
        <f t="shared" si="0"/>
        <v>14421.626</v>
      </c>
      <c r="D44" s="349"/>
      <c r="E44" s="471">
        <f>189.33+251.11+1548.618+916.726+1102.586+1698.646+1596.7+1417.388+2184.307-2237.8</f>
        <v>8667.611</v>
      </c>
      <c r="F44" s="471">
        <f>34.32+448.44+1552.18+711.9+397.714+850.685+8.2+744.4+1134.231+345.89-473.945</f>
        <v>5754.015</v>
      </c>
      <c r="G44" s="465"/>
      <c r="J44" s="87"/>
    </row>
    <row r="45" spans="1:7" ht="30.75">
      <c r="A45" s="462"/>
      <c r="B45" s="466" t="s">
        <v>433</v>
      </c>
      <c r="C45" s="349">
        <f t="shared" si="0"/>
        <v>15041.251000000002</v>
      </c>
      <c r="D45" s="349"/>
      <c r="E45" s="464">
        <f>728.542+1175.052+500+2086+6709.925+1150+885+1261+272.201+18.5+20</f>
        <v>14806.220000000001</v>
      </c>
      <c r="F45" s="464">
        <f>54+181.031</f>
        <v>235.031</v>
      </c>
      <c r="G45" s="465"/>
    </row>
    <row r="46" spans="1:10" ht="15">
      <c r="A46" s="462"/>
      <c r="B46" s="466" t="s">
        <v>434</v>
      </c>
      <c r="C46" s="349">
        <f t="shared" si="0"/>
        <v>29.8</v>
      </c>
      <c r="D46" s="349"/>
      <c r="E46" s="464"/>
      <c r="F46" s="464">
        <v>29.8</v>
      </c>
      <c r="G46" s="465"/>
      <c r="J46" s="87"/>
    </row>
    <row r="47" spans="1:7" ht="15">
      <c r="A47" s="462"/>
      <c r="B47" s="466" t="s">
        <v>435</v>
      </c>
      <c r="C47" s="349">
        <f t="shared" si="0"/>
        <v>146.258</v>
      </c>
      <c r="D47" s="349"/>
      <c r="E47" s="464">
        <v>57</v>
      </c>
      <c r="F47" s="464">
        <f>47.79+41.468</f>
        <v>89.25800000000001</v>
      </c>
      <c r="G47" s="465"/>
    </row>
    <row r="48" spans="1:10" ht="46.5">
      <c r="A48" s="462"/>
      <c r="B48" s="469" t="s">
        <v>753</v>
      </c>
      <c r="C48" s="349">
        <f t="shared" si="0"/>
        <v>1188.826</v>
      </c>
      <c r="D48" s="349"/>
      <c r="E48" s="464"/>
      <c r="F48" s="464">
        <f>134.1+192.587+364.463+497.676</f>
        <v>1188.826</v>
      </c>
      <c r="G48" s="465"/>
      <c r="J48" s="90"/>
    </row>
    <row r="49" spans="1:10" ht="39" customHeight="1">
      <c r="A49" s="462"/>
      <c r="B49" s="470" t="s">
        <v>436</v>
      </c>
      <c r="C49" s="349">
        <f t="shared" si="0"/>
        <v>27.4</v>
      </c>
      <c r="D49" s="349"/>
      <c r="E49" s="464"/>
      <c r="F49" s="464">
        <v>27.4</v>
      </c>
      <c r="G49" s="465"/>
      <c r="I49" s="89"/>
      <c r="J49" s="89"/>
    </row>
    <row r="50" spans="1:10" ht="46.5">
      <c r="A50" s="462"/>
      <c r="B50" s="470" t="s">
        <v>437</v>
      </c>
      <c r="C50" s="349">
        <f t="shared" si="0"/>
        <v>250</v>
      </c>
      <c r="D50" s="349"/>
      <c r="E50" s="464">
        <v>250</v>
      </c>
      <c r="F50" s="464"/>
      <c r="G50" s="465"/>
      <c r="I50" s="89"/>
      <c r="J50" s="88"/>
    </row>
    <row r="51" spans="1:10" ht="15">
      <c r="A51" s="462"/>
      <c r="B51" s="472" t="s">
        <v>438</v>
      </c>
      <c r="C51" s="349">
        <f t="shared" si="0"/>
        <v>294.6</v>
      </c>
      <c r="D51" s="349"/>
      <c r="E51" s="464"/>
      <c r="F51" s="464">
        <f>238+56.6</f>
        <v>294.6</v>
      </c>
      <c r="G51" s="465"/>
      <c r="H51" s="79"/>
      <c r="I51" s="91"/>
      <c r="J51" s="79"/>
    </row>
    <row r="52" spans="1:10" ht="15">
      <c r="A52" s="462"/>
      <c r="B52" s="473" t="s">
        <v>439</v>
      </c>
      <c r="C52" s="349">
        <f t="shared" si="0"/>
        <v>1585.6136259999998</v>
      </c>
      <c r="D52" s="349"/>
      <c r="E52" s="464">
        <f>133.3+715+45+9.122+100</f>
        <v>1002.4219999999999</v>
      </c>
      <c r="F52" s="464">
        <v>583.191626</v>
      </c>
      <c r="G52" s="465"/>
      <c r="I52" s="89"/>
      <c r="J52" s="92"/>
    </row>
    <row r="53" spans="1:10" ht="35.25" customHeight="1">
      <c r="A53" s="462"/>
      <c r="B53" s="463" t="s">
        <v>440</v>
      </c>
      <c r="C53" s="349">
        <f t="shared" si="0"/>
        <v>6.6</v>
      </c>
      <c r="D53" s="349"/>
      <c r="E53" s="464">
        <v>6.6</v>
      </c>
      <c r="F53" s="464"/>
      <c r="G53" s="465"/>
      <c r="H53" s="79"/>
      <c r="I53" s="79"/>
      <c r="J53" s="79"/>
    </row>
    <row r="54" spans="1:7" ht="21" customHeight="1">
      <c r="A54" s="462"/>
      <c r="B54" s="463" t="s">
        <v>441</v>
      </c>
      <c r="C54" s="349">
        <f t="shared" si="0"/>
        <v>116.42</v>
      </c>
      <c r="D54" s="349"/>
      <c r="E54" s="464">
        <v>116.42</v>
      </c>
      <c r="F54" s="464"/>
      <c r="G54" s="465"/>
    </row>
    <row r="55" spans="1:7" ht="20.25" customHeight="1">
      <c r="A55" s="474"/>
      <c r="B55" s="463" t="s">
        <v>442</v>
      </c>
      <c r="C55" s="349">
        <f t="shared" si="0"/>
        <v>198</v>
      </c>
      <c r="D55" s="350"/>
      <c r="E55" s="464">
        <v>198</v>
      </c>
      <c r="F55" s="464"/>
      <c r="G55" s="475"/>
    </row>
    <row r="56" spans="1:7" ht="46.5">
      <c r="A56" s="462"/>
      <c r="B56" s="467" t="s">
        <v>752</v>
      </c>
      <c r="C56" s="349">
        <f t="shared" si="0"/>
        <v>36</v>
      </c>
      <c r="D56" s="349"/>
      <c r="E56" s="464">
        <v>36</v>
      </c>
      <c r="F56" s="464"/>
      <c r="G56" s="465"/>
    </row>
    <row r="57" spans="1:7" ht="15">
      <c r="A57" s="462"/>
      <c r="B57" s="467" t="s">
        <v>443</v>
      </c>
      <c r="C57" s="349">
        <f t="shared" si="0"/>
        <v>200</v>
      </c>
      <c r="D57" s="349"/>
      <c r="E57" s="464">
        <v>200</v>
      </c>
      <c r="F57" s="464"/>
      <c r="G57" s="465"/>
    </row>
    <row r="58" spans="1:7" ht="30.75">
      <c r="A58" s="462"/>
      <c r="B58" s="467" t="s">
        <v>444</v>
      </c>
      <c r="C58" s="349">
        <f t="shared" si="0"/>
        <v>99.557</v>
      </c>
      <c r="D58" s="349"/>
      <c r="E58" s="464">
        <v>99.557</v>
      </c>
      <c r="F58" s="464"/>
      <c r="G58" s="465"/>
    </row>
    <row r="59" spans="1:7" ht="15">
      <c r="A59" s="462"/>
      <c r="B59" s="463" t="s">
        <v>445</v>
      </c>
      <c r="C59" s="349">
        <f t="shared" si="0"/>
        <v>41</v>
      </c>
      <c r="D59" s="349"/>
      <c r="E59" s="464">
        <v>41</v>
      </c>
      <c r="F59" s="464"/>
      <c r="G59" s="465"/>
    </row>
    <row r="60" spans="1:7" ht="30.75">
      <c r="A60" s="462"/>
      <c r="B60" s="463" t="s">
        <v>751</v>
      </c>
      <c r="C60" s="349">
        <f t="shared" si="0"/>
        <v>40</v>
      </c>
      <c r="D60" s="349"/>
      <c r="E60" s="464">
        <v>40</v>
      </c>
      <c r="F60" s="464"/>
      <c r="G60" s="465"/>
    </row>
    <row r="61" spans="1:7" ht="15">
      <c r="A61" s="462"/>
      <c r="B61" s="463" t="s">
        <v>446</v>
      </c>
      <c r="C61" s="349">
        <f t="shared" si="0"/>
        <v>110</v>
      </c>
      <c r="D61" s="349"/>
      <c r="E61" s="464">
        <v>60</v>
      </c>
      <c r="F61" s="464">
        <v>50</v>
      </c>
      <c r="G61" s="465"/>
    </row>
    <row r="62" spans="1:7" ht="15">
      <c r="A62" s="462"/>
      <c r="B62" s="463" t="s">
        <v>447</v>
      </c>
      <c r="C62" s="349">
        <f t="shared" si="0"/>
        <v>200</v>
      </c>
      <c r="D62" s="349"/>
      <c r="E62" s="464">
        <v>200</v>
      </c>
      <c r="F62" s="464"/>
      <c r="G62" s="465"/>
    </row>
    <row r="63" spans="1:7" ht="46.5">
      <c r="A63" s="462"/>
      <c r="B63" s="463" t="s">
        <v>448</v>
      </c>
      <c r="C63" s="349">
        <f t="shared" si="0"/>
        <v>98.6</v>
      </c>
      <c r="D63" s="349"/>
      <c r="E63" s="464">
        <v>98.6</v>
      </c>
      <c r="F63" s="464"/>
      <c r="G63" s="465"/>
    </row>
    <row r="64" spans="1:7" ht="30.75">
      <c r="A64" s="462"/>
      <c r="B64" s="468" t="s">
        <v>449</v>
      </c>
      <c r="C64" s="349">
        <f t="shared" si="0"/>
        <v>705.315</v>
      </c>
      <c r="D64" s="349"/>
      <c r="E64" s="464">
        <v>705.315</v>
      </c>
      <c r="F64" s="464"/>
      <c r="G64" s="465"/>
    </row>
    <row r="65" spans="1:7" ht="15">
      <c r="A65" s="462"/>
      <c r="B65" s="468" t="s">
        <v>450</v>
      </c>
      <c r="C65" s="349">
        <f t="shared" si="0"/>
        <v>467</v>
      </c>
      <c r="D65" s="349"/>
      <c r="E65" s="464">
        <f>196+88+183</f>
        <v>467</v>
      </c>
      <c r="F65" s="464"/>
      <c r="G65" s="465"/>
    </row>
    <row r="66" spans="1:7" ht="15">
      <c r="A66" s="462"/>
      <c r="B66" s="468" t="s">
        <v>451</v>
      </c>
      <c r="C66" s="349">
        <f t="shared" si="0"/>
        <v>53.245</v>
      </c>
      <c r="D66" s="349"/>
      <c r="E66" s="464">
        <v>53.245</v>
      </c>
      <c r="F66" s="464"/>
      <c r="G66" s="465"/>
    </row>
    <row r="67" spans="1:7" ht="21" customHeight="1">
      <c r="A67" s="462"/>
      <c r="B67" s="463" t="s">
        <v>452</v>
      </c>
      <c r="C67" s="349">
        <f t="shared" si="0"/>
        <v>96.991</v>
      </c>
      <c r="D67" s="349"/>
      <c r="E67" s="464">
        <v>96.991</v>
      </c>
      <c r="F67" s="464"/>
      <c r="G67" s="465"/>
    </row>
    <row r="68" spans="1:7" ht="30.75">
      <c r="A68" s="462"/>
      <c r="B68" s="463" t="s">
        <v>750</v>
      </c>
      <c r="C68" s="349">
        <f t="shared" si="0"/>
        <v>200</v>
      </c>
      <c r="D68" s="349"/>
      <c r="E68" s="464">
        <f>190+10</f>
        <v>200</v>
      </c>
      <c r="F68" s="464"/>
      <c r="G68" s="465"/>
    </row>
    <row r="69" spans="1:7" ht="30.75">
      <c r="A69" s="462"/>
      <c r="B69" s="470" t="s">
        <v>453</v>
      </c>
      <c r="C69" s="349">
        <f t="shared" si="0"/>
        <v>252</v>
      </c>
      <c r="D69" s="349"/>
      <c r="E69" s="464"/>
      <c r="F69" s="464">
        <v>252</v>
      </c>
      <c r="G69" s="465"/>
    </row>
    <row r="70" spans="1:7" ht="117" customHeight="1">
      <c r="A70" s="462"/>
      <c r="B70" s="469" t="s">
        <v>454</v>
      </c>
      <c r="C70" s="349">
        <f t="shared" si="0"/>
        <v>19.5</v>
      </c>
      <c r="D70" s="349"/>
      <c r="E70" s="464">
        <v>19.5</v>
      </c>
      <c r="F70" s="464"/>
      <c r="G70" s="465"/>
    </row>
    <row r="71" spans="1:7" ht="15">
      <c r="A71" s="462"/>
      <c r="B71" s="469" t="s">
        <v>749</v>
      </c>
      <c r="C71" s="349">
        <f t="shared" si="0"/>
        <v>10049.266</v>
      </c>
      <c r="D71" s="349"/>
      <c r="E71" s="464">
        <f>321.98+2794.023+2468.5+35+22.763</f>
        <v>5642.2660000000005</v>
      </c>
      <c r="F71" s="464">
        <v>4407</v>
      </c>
      <c r="G71" s="465"/>
    </row>
    <row r="72" spans="1:7" ht="15">
      <c r="A72" s="462"/>
      <c r="B72" s="470" t="s">
        <v>455</v>
      </c>
      <c r="C72" s="349">
        <f t="shared" si="0"/>
        <v>39.6</v>
      </c>
      <c r="D72" s="349"/>
      <c r="E72" s="464">
        <v>39.6</v>
      </c>
      <c r="F72" s="464"/>
      <c r="G72" s="465"/>
    </row>
    <row r="73" spans="1:7" ht="36.75" customHeight="1">
      <c r="A73" s="462"/>
      <c r="B73" s="463" t="s">
        <v>735</v>
      </c>
      <c r="C73" s="349">
        <f t="shared" si="0"/>
        <v>107.22500000000001</v>
      </c>
      <c r="D73" s="349"/>
      <c r="E73" s="464">
        <f>33+36.257+37.968</f>
        <v>107.22500000000001</v>
      </c>
      <c r="F73" s="464"/>
      <c r="G73" s="465"/>
    </row>
    <row r="74" spans="1:7" ht="46.5">
      <c r="A74" s="462"/>
      <c r="B74" s="463" t="s">
        <v>456</v>
      </c>
      <c r="C74" s="349">
        <f t="shared" si="0"/>
        <v>235.242</v>
      </c>
      <c r="D74" s="349"/>
      <c r="E74" s="464">
        <v>235.242</v>
      </c>
      <c r="F74" s="464"/>
      <c r="G74" s="465"/>
    </row>
    <row r="75" spans="1:7" ht="15">
      <c r="A75" s="462"/>
      <c r="B75" s="463" t="s">
        <v>457</v>
      </c>
      <c r="C75" s="349">
        <f t="shared" si="0"/>
        <v>511.6</v>
      </c>
      <c r="D75" s="349"/>
      <c r="E75" s="464"/>
      <c r="F75" s="464">
        <v>511.6</v>
      </c>
      <c r="G75" s="465"/>
    </row>
    <row r="76" spans="1:7" ht="30.75">
      <c r="A76" s="462"/>
      <c r="B76" s="463" t="s">
        <v>458</v>
      </c>
      <c r="C76" s="349">
        <f t="shared" si="0"/>
        <v>1863.672</v>
      </c>
      <c r="D76" s="349"/>
      <c r="E76" s="464">
        <f>50+31+211.217+147.614+28+15+30+28.16+70+120+15.015+45+19+20+10.87+129.23</f>
        <v>970.106</v>
      </c>
      <c r="F76" s="464">
        <f>19.256+20+35+669.1+150.21</f>
        <v>893.566</v>
      </c>
      <c r="G76" s="465"/>
    </row>
    <row r="77" spans="1:7" ht="15">
      <c r="A77" s="462"/>
      <c r="B77" s="463" t="s">
        <v>459</v>
      </c>
      <c r="C77" s="349">
        <f t="shared" si="0"/>
        <v>126.41</v>
      </c>
      <c r="D77" s="349"/>
      <c r="E77" s="464">
        <f>35+50+33.94+7.47</f>
        <v>126.41</v>
      </c>
      <c r="F77" s="464"/>
      <c r="G77" s="465"/>
    </row>
    <row r="78" spans="1:7" ht="15">
      <c r="A78" s="462"/>
      <c r="B78" s="463" t="s">
        <v>460</v>
      </c>
      <c r="C78" s="349">
        <f t="shared" si="0"/>
        <v>30456.981985</v>
      </c>
      <c r="D78" s="349"/>
      <c r="E78" s="464">
        <f>85.618095+1832.26+1250.2507+212.323+1040.5+79.644+654.934+5046.114+12572</f>
        <v>22773.643795</v>
      </c>
      <c r="F78" s="464">
        <f>1568.65019+80+451+124.635+588.627+750.493+165.971+3953.962</f>
        <v>7683.33819</v>
      </c>
      <c r="G78" s="465"/>
    </row>
    <row r="79" spans="1:7" ht="15">
      <c r="A79" s="456">
        <v>3</v>
      </c>
      <c r="B79" s="457" t="s">
        <v>296</v>
      </c>
      <c r="C79" s="348">
        <f aca="true" t="shared" si="1" ref="C79:C88">SUM(D79:F79)</f>
        <v>600.845</v>
      </c>
      <c r="D79" s="348">
        <f>D81</f>
        <v>266</v>
      </c>
      <c r="E79" s="351">
        <f>E81</f>
        <v>294.352</v>
      </c>
      <c r="F79" s="351">
        <f>F81</f>
        <v>40.493</v>
      </c>
      <c r="G79" s="459"/>
    </row>
    <row r="80" spans="1:7" ht="15">
      <c r="A80" s="462"/>
      <c r="B80" s="476" t="s">
        <v>461</v>
      </c>
      <c r="C80" s="349">
        <f>SUM(D80:F80)</f>
        <v>3</v>
      </c>
      <c r="D80" s="349">
        <v>3</v>
      </c>
      <c r="E80" s="458"/>
      <c r="F80" s="458"/>
      <c r="G80" s="465"/>
    </row>
    <row r="81" spans="1:7" ht="15">
      <c r="A81" s="462"/>
      <c r="B81" s="476" t="s">
        <v>462</v>
      </c>
      <c r="C81" s="349">
        <f>SUM(D81:F81)</f>
        <v>600.845</v>
      </c>
      <c r="D81" s="349">
        <v>266</v>
      </c>
      <c r="E81" s="458">
        <v>294.352</v>
      </c>
      <c r="F81" s="458">
        <v>40.493</v>
      </c>
      <c r="G81" s="465"/>
    </row>
    <row r="82" spans="1:7" ht="30.75" hidden="1">
      <c r="A82" s="462"/>
      <c r="B82" s="476" t="s">
        <v>737</v>
      </c>
      <c r="C82" s="349">
        <f>SUM(D82:F82)</f>
        <v>236</v>
      </c>
      <c r="D82" s="349">
        <v>236</v>
      </c>
      <c r="E82" s="458"/>
      <c r="F82" s="458"/>
      <c r="G82" s="465"/>
    </row>
    <row r="83" spans="1:7" s="451" customFormat="1" ht="15">
      <c r="A83" s="456">
        <v>4</v>
      </c>
      <c r="B83" s="457" t="s">
        <v>297</v>
      </c>
      <c r="C83" s="348">
        <f t="shared" si="1"/>
        <v>3695.9</v>
      </c>
      <c r="D83" s="348">
        <f>SUM(D85:D90)</f>
        <v>1100</v>
      </c>
      <c r="E83" s="460">
        <f>SUM(E85:E90)</f>
        <v>1559.9</v>
      </c>
      <c r="F83" s="460">
        <f>SUM(F85:F90)</f>
        <v>1036</v>
      </c>
      <c r="G83" s="459"/>
    </row>
    <row r="84" spans="1:7" ht="15">
      <c r="A84" s="462"/>
      <c r="B84" s="477" t="s">
        <v>298</v>
      </c>
      <c r="C84" s="349">
        <f t="shared" si="1"/>
        <v>0</v>
      </c>
      <c r="D84" s="349"/>
      <c r="E84" s="458"/>
      <c r="F84" s="458"/>
      <c r="G84" s="465"/>
    </row>
    <row r="85" spans="1:7" ht="15">
      <c r="A85" s="462"/>
      <c r="B85" s="477" t="s">
        <v>299</v>
      </c>
      <c r="C85" s="349">
        <f t="shared" si="1"/>
        <v>1726</v>
      </c>
      <c r="D85" s="349">
        <v>1100</v>
      </c>
      <c r="E85" s="458">
        <v>626</v>
      </c>
      <c r="F85" s="458"/>
      <c r="G85" s="465"/>
    </row>
    <row r="86" spans="1:7" ht="15">
      <c r="A86" s="462"/>
      <c r="B86" s="468" t="s">
        <v>300</v>
      </c>
      <c r="C86" s="349">
        <f t="shared" si="1"/>
        <v>730</v>
      </c>
      <c r="D86" s="349"/>
      <c r="E86" s="458">
        <f>270+460</f>
        <v>730</v>
      </c>
      <c r="F86" s="458"/>
      <c r="G86" s="465"/>
    </row>
    <row r="87" spans="1:7" ht="15">
      <c r="A87" s="462"/>
      <c r="B87" s="463" t="s">
        <v>301</v>
      </c>
      <c r="C87" s="349">
        <f t="shared" si="1"/>
        <v>0</v>
      </c>
      <c r="D87" s="349"/>
      <c r="E87" s="458"/>
      <c r="F87" s="458"/>
      <c r="G87" s="465"/>
    </row>
    <row r="88" spans="1:7" ht="15">
      <c r="A88" s="462"/>
      <c r="B88" s="468" t="s">
        <v>302</v>
      </c>
      <c r="C88" s="349">
        <f t="shared" si="1"/>
        <v>75</v>
      </c>
      <c r="D88" s="349"/>
      <c r="E88" s="458">
        <v>75</v>
      </c>
      <c r="F88" s="458"/>
      <c r="G88" s="465"/>
    </row>
    <row r="89" spans="1:7" ht="15">
      <c r="A89" s="462"/>
      <c r="B89" s="463" t="s">
        <v>803</v>
      </c>
      <c r="C89" s="349">
        <f>SUM(D89:F89)</f>
        <v>128.9</v>
      </c>
      <c r="D89" s="349"/>
      <c r="E89" s="458">
        <v>128.9</v>
      </c>
      <c r="F89" s="458"/>
      <c r="G89" s="465"/>
    </row>
    <row r="90" spans="1:7" ht="15">
      <c r="A90" s="462"/>
      <c r="B90" s="468" t="s">
        <v>303</v>
      </c>
      <c r="C90" s="349">
        <f>SUM(D90:F90)</f>
        <v>1036</v>
      </c>
      <c r="D90" s="349"/>
      <c r="E90" s="458"/>
      <c r="F90" s="458">
        <v>1036</v>
      </c>
      <c r="G90" s="478"/>
    </row>
    <row r="91" spans="1:7" s="451" customFormat="1" ht="15">
      <c r="A91" s="456">
        <v>5</v>
      </c>
      <c r="B91" s="457" t="s">
        <v>304</v>
      </c>
      <c r="C91" s="348">
        <f>SUM(D91:F91)</f>
        <v>18200.967604</v>
      </c>
      <c r="D91" s="348">
        <f>SUM(D92:D93)</f>
        <v>15133</v>
      </c>
      <c r="E91" s="460">
        <f>SUM(E92:E93)</f>
        <v>2217.716</v>
      </c>
      <c r="F91" s="460">
        <f>SUM(F92:F93)</f>
        <v>850.251604</v>
      </c>
      <c r="G91" s="459"/>
    </row>
    <row r="92" spans="1:7" ht="19.5" customHeight="1">
      <c r="A92" s="462"/>
      <c r="B92" s="468" t="s">
        <v>305</v>
      </c>
      <c r="C92" s="349">
        <f>SUM(D92:F92)</f>
        <v>18160.217604</v>
      </c>
      <c r="D92" s="349">
        <v>15133</v>
      </c>
      <c r="E92" s="458">
        <f>200+1476.966+500</f>
        <v>2176.966</v>
      </c>
      <c r="F92" s="458">
        <f>549.282604+300.969</f>
        <v>850.251604</v>
      </c>
      <c r="G92" s="465"/>
    </row>
    <row r="93" spans="1:7" ht="21" customHeight="1">
      <c r="A93" s="479"/>
      <c r="B93" s="480" t="s">
        <v>306</v>
      </c>
      <c r="C93" s="352">
        <f>SUM(D93:F93)</f>
        <v>40.75</v>
      </c>
      <c r="D93" s="352"/>
      <c r="E93" s="481">
        <v>40.75</v>
      </c>
      <c r="F93" s="481"/>
      <c r="G93" s="482"/>
    </row>
    <row r="94" spans="2:6" ht="14.25">
      <c r="B94" s="81"/>
      <c r="C94" s="82"/>
      <c r="D94" s="82"/>
      <c r="E94" s="82"/>
      <c r="F94" s="82"/>
    </row>
    <row r="95" spans="1:7" ht="15.75" customHeight="1" hidden="1">
      <c r="A95" s="104"/>
      <c r="B95" s="81"/>
      <c r="C95" s="540" t="s">
        <v>381</v>
      </c>
      <c r="D95" s="540"/>
      <c r="E95" s="540"/>
      <c r="F95" s="540"/>
      <c r="G95" s="540"/>
    </row>
    <row r="96" spans="1:7" ht="15.75" customHeight="1" hidden="1">
      <c r="A96" s="104"/>
      <c r="B96" s="483" t="s">
        <v>336</v>
      </c>
      <c r="C96" s="541" t="s">
        <v>337</v>
      </c>
      <c r="D96" s="541"/>
      <c r="E96" s="541"/>
      <c r="F96" s="541"/>
      <c r="G96" s="541"/>
    </row>
    <row r="97" spans="1:7" ht="15" hidden="1">
      <c r="A97" s="104"/>
      <c r="B97" s="74"/>
      <c r="C97" s="84"/>
      <c r="D97" s="84"/>
      <c r="E97" s="84"/>
      <c r="F97" s="84"/>
      <c r="G97" s="84"/>
    </row>
    <row r="98" spans="1:7" ht="15" hidden="1">
      <c r="A98" s="104"/>
      <c r="B98" s="83"/>
      <c r="C98" s="83"/>
      <c r="D98" s="83"/>
      <c r="E98" s="83"/>
      <c r="F98" s="83"/>
      <c r="G98" s="83"/>
    </row>
    <row r="99" spans="1:7" ht="15" hidden="1">
      <c r="A99" s="104"/>
      <c r="B99" s="83"/>
      <c r="C99" s="83"/>
      <c r="D99" s="83"/>
      <c r="E99" s="83"/>
      <c r="F99" s="83"/>
      <c r="G99" s="83"/>
    </row>
    <row r="100" spans="1:7" ht="15" hidden="1">
      <c r="A100" s="104"/>
      <c r="B100" s="83"/>
      <c r="C100" s="83"/>
      <c r="D100" s="83"/>
      <c r="E100" s="83"/>
      <c r="F100" s="83"/>
      <c r="G100" s="83"/>
    </row>
    <row r="101" spans="1:7" ht="15" hidden="1">
      <c r="A101" s="104"/>
      <c r="B101" s="83"/>
      <c r="C101" s="83"/>
      <c r="D101" s="83"/>
      <c r="E101" s="83"/>
      <c r="F101" s="83"/>
      <c r="G101" s="83"/>
    </row>
    <row r="102" spans="1:7" ht="15" hidden="1">
      <c r="A102" s="104"/>
      <c r="B102" s="74"/>
      <c r="C102" s="84"/>
      <c r="D102" s="84"/>
      <c r="E102" s="84"/>
      <c r="F102" s="84"/>
      <c r="G102" s="84"/>
    </row>
    <row r="103" spans="2:7" ht="15" hidden="1">
      <c r="B103" s="73" t="s">
        <v>476</v>
      </c>
      <c r="C103" s="542" t="s">
        <v>338</v>
      </c>
      <c r="D103" s="542"/>
      <c r="E103" s="542"/>
      <c r="F103" s="542"/>
      <c r="G103" s="542"/>
    </row>
    <row r="104" spans="2:6" ht="17.25" hidden="1">
      <c r="B104" s="85"/>
      <c r="C104" s="86"/>
      <c r="D104" s="86"/>
      <c r="E104" s="86"/>
      <c r="F104" s="86"/>
    </row>
    <row r="105" ht="14.25" hidden="1"/>
  </sheetData>
  <sheetProtection/>
  <mergeCells count="11">
    <mergeCell ref="A1:B1"/>
    <mergeCell ref="A2:G2"/>
    <mergeCell ref="A3:G3"/>
    <mergeCell ref="A5:A6"/>
    <mergeCell ref="B5:B6"/>
    <mergeCell ref="C5:C6"/>
    <mergeCell ref="D5:F5"/>
    <mergeCell ref="C95:G95"/>
    <mergeCell ref="C96:G96"/>
    <mergeCell ref="C103:G103"/>
    <mergeCell ref="G5:G6"/>
  </mergeCells>
  <printOptions horizontalCentered="1"/>
  <pageMargins left="0.5" right="0.2" top="0.7" bottom="0.5" header="0.31496062992126" footer="0.31496062992126"/>
  <pageSetup horizontalDpi="600" verticalDpi="600" orientation="portrait" paperSize="9" scale="80" r:id="rId1"/>
  <headerFooter differentFirst="1">
    <oddHeader>&amp;C&amp;"Times New Roman,Regular"&amp;P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2023-11-06T02:38:07Z</cp:lastPrinted>
  <dcterms:created xsi:type="dcterms:W3CDTF">2022-08-24T01:39:16Z</dcterms:created>
  <dcterms:modified xsi:type="dcterms:W3CDTF">2023-11-10T09:58:19Z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