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AppData\Roaming\VNPT Plugin\Files\FileTemp\"/>
    </mc:Choice>
  </mc:AlternateContent>
  <xr:revisionPtr revIDLastSave="0" documentId="13_ncr:1_{BAFE06D1-AAFF-4E44-9EE0-1531A9670711}" xr6:coauthVersionLast="47" xr6:coauthVersionMax="47" xr10:uidLastSave="{00000000-0000-0000-0000-000000000000}"/>
  <bookViews>
    <workbookView xWindow="-120" yWindow="-120" windowWidth="38640" windowHeight="15840" tabRatio="500" activeTab="2" xr2:uid="{00000000-000D-0000-FFFF-FFFF00000000}"/>
  </bookViews>
  <sheets>
    <sheet name="Kp bo tri du toan" sheetId="1" r:id="rId1"/>
    <sheet name="TongHop_NoiDungChi" sheetId="2" r:id="rId2"/>
    <sheet name="SoSanh_CacTinh" sheetId="3" r:id="rId3"/>
  </sheets>
  <definedNames>
    <definedName name="_xlnm.Print_Titles" localSheetId="1">TongHop_NoiDungChi!$5:$5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Y15" i="1" l="1"/>
  <c r="Y14" i="1"/>
  <c r="Y13" i="1"/>
  <c r="Y11" i="1"/>
  <c r="Y10" i="1"/>
  <c r="S15" i="1"/>
  <c r="S14" i="1"/>
  <c r="S13" i="1"/>
  <c r="S11" i="1"/>
  <c r="S10" i="1"/>
  <c r="A2" i="2"/>
  <c r="U13" i="1"/>
  <c r="X15" i="1"/>
  <c r="U15" i="1"/>
  <c r="Q15" i="1"/>
  <c r="O15" i="1"/>
  <c r="M15" i="1"/>
  <c r="K15" i="1"/>
  <c r="I15" i="1"/>
  <c r="G15" i="1"/>
  <c r="E15" i="1"/>
  <c r="Q14" i="1"/>
  <c r="O14" i="1"/>
  <c r="M14" i="1"/>
  <c r="K14" i="1"/>
  <c r="I14" i="1"/>
  <c r="G14" i="1"/>
  <c r="E14" i="1"/>
  <c r="X13" i="1"/>
  <c r="X12" i="1" s="1"/>
  <c r="Q13" i="1"/>
  <c r="O13" i="1"/>
  <c r="M13" i="1"/>
  <c r="K13" i="1"/>
  <c r="I13" i="1"/>
  <c r="G13" i="1"/>
  <c r="E13" i="1"/>
  <c r="E12" i="1" s="1"/>
  <c r="U12" i="1"/>
  <c r="G25" i="2" s="1"/>
  <c r="X11" i="1"/>
  <c r="T11" i="1"/>
  <c r="U11" i="1" s="1"/>
  <c r="Q11" i="1"/>
  <c r="Q9" i="1" s="1"/>
  <c r="E17" i="2" s="1"/>
  <c r="F13" i="2" s="1"/>
  <c r="O11" i="1"/>
  <c r="M11" i="1"/>
  <c r="K11" i="1"/>
  <c r="I11" i="1"/>
  <c r="G11" i="1"/>
  <c r="E11" i="1"/>
  <c r="E9" i="1" s="1"/>
  <c r="X10" i="1"/>
  <c r="U10" i="1"/>
  <c r="Q10" i="1"/>
  <c r="O10" i="1"/>
  <c r="M10" i="1"/>
  <c r="K10" i="1"/>
  <c r="I10" i="1"/>
  <c r="G10" i="1"/>
  <c r="E10" i="1"/>
  <c r="S9" i="1" l="1"/>
  <c r="M9" i="1"/>
  <c r="Q12" i="1"/>
  <c r="C25" i="2" s="1"/>
  <c r="S12" i="1"/>
  <c r="S8" i="1" s="1"/>
  <c r="G9" i="1"/>
  <c r="G8" i="1" s="1"/>
  <c r="U9" i="1"/>
  <c r="G17" i="2" s="1"/>
  <c r="G12" i="1"/>
  <c r="O9" i="1"/>
  <c r="I9" i="1"/>
  <c r="X9" i="1"/>
  <c r="K12" i="1"/>
  <c r="E8" i="1"/>
  <c r="C17" i="2"/>
  <c r="D15" i="2" s="1"/>
  <c r="M12" i="1"/>
  <c r="M8" i="1" s="1"/>
  <c r="O12" i="1"/>
  <c r="O8" i="1" s="1"/>
  <c r="K9" i="1"/>
  <c r="K8" i="1" s="1"/>
  <c r="I12" i="1"/>
  <c r="I8" i="1" s="1"/>
  <c r="F14" i="2"/>
  <c r="F15" i="2"/>
  <c r="X8" i="1"/>
  <c r="E25" i="2"/>
  <c r="E26" i="2" s="1"/>
  <c r="H22" i="2"/>
  <c r="H19" i="2"/>
  <c r="H20" i="2"/>
  <c r="H21" i="2"/>
  <c r="H23" i="2"/>
  <c r="F12" i="2"/>
  <c r="F11" i="2"/>
  <c r="F10" i="2"/>
  <c r="F9" i="2"/>
  <c r="F8" i="2"/>
  <c r="F7" i="2"/>
  <c r="D9" i="2"/>
  <c r="D8" i="2"/>
  <c r="U8" i="1"/>
  <c r="Q8" i="1" l="1"/>
  <c r="D14" i="2"/>
  <c r="D13" i="2"/>
  <c r="D10" i="2"/>
  <c r="D11" i="2"/>
  <c r="D12" i="2"/>
  <c r="D7" i="2"/>
  <c r="C26" i="2"/>
  <c r="F19" i="2"/>
  <c r="F20" i="2"/>
  <c r="F21" i="2"/>
  <c r="F22" i="2"/>
  <c r="F23" i="2"/>
  <c r="D19" i="2"/>
  <c r="D20" i="2"/>
  <c r="D21" i="2"/>
  <c r="D22" i="2"/>
  <c r="D23" i="2"/>
  <c r="H24" i="2"/>
  <c r="H25" i="2" s="1"/>
  <c r="F16" i="2"/>
  <c r="F17" i="2" s="1"/>
  <c r="G26" i="2"/>
  <c r="H7" i="2"/>
  <c r="H8" i="2"/>
  <c r="H9" i="2"/>
  <c r="H10" i="2"/>
  <c r="H11" i="2"/>
  <c r="H12" i="2"/>
  <c r="H13" i="2"/>
  <c r="H14" i="2"/>
  <c r="H15" i="2"/>
  <c r="D16" i="2" l="1"/>
  <c r="D17" i="2" s="1"/>
  <c r="F24" i="2"/>
  <c r="F25" i="2" s="1"/>
  <c r="F26" i="2" s="1"/>
  <c r="H16" i="2"/>
  <c r="H17" i="2" s="1"/>
  <c r="H26" i="2" s="1"/>
  <c r="D24" i="2"/>
  <c r="D25" i="2" s="1"/>
  <c r="D2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L10" authorId="0" shapeId="0" xr:uid="{00000000-0006-0000-0000-000001000000}">
      <text>
        <r>
          <rPr>
            <sz val="10"/>
            <rFont val="Arial"/>
            <family val="2"/>
          </rPr>
          <t>QĐ 861/QĐ-TTg: 88 xã KV III + 8 xã KV II (Long Đống, Cao Lâu, Quan Sơn, Thượng Cường, Đồng Tiến, Hòa Sơn, Kháng Chiến, Điềm He)</t>
        </r>
      </text>
    </comment>
    <comment ref="T14" authorId="0" shapeId="0" xr:uid="{00000000-0006-0000-0000-000002000000}">
      <text>
        <r>
          <rPr>
            <sz val="10"/>
            <rFont val="Arial"/>
            <family val="2"/>
          </rPr>
          <t xml:space="preserve">Khối 18 phường Đông Kinh (1.179 hộ) (khối phố không sắp xếp, thực hiện cả năm): 2 bậc x 1 triệu
</t>
        </r>
      </text>
    </comment>
  </commentList>
</comments>
</file>

<file path=xl/sharedStrings.xml><?xml version="1.0" encoding="utf-8"?>
<sst xmlns="http://schemas.openxmlformats.org/spreadsheetml/2006/main" count="131" uniqueCount="102">
  <si>
    <t>Đơn vị: triệu đồng</t>
  </si>
  <si>
    <t>STT</t>
  </si>
  <si>
    <t>Nội dung</t>
  </si>
  <si>
    <t>Nghị quyết 05/2018/NQ-HĐND</t>
  </si>
  <si>
    <t>Đề xuất mức quy định mới từ năm 2027</t>
  </si>
  <si>
    <t>Ghi chú</t>
  </si>
  <si>
    <t>Định mức hỗ trợ</t>
  </si>
  <si>
    <t>Năm 2018</t>
  </si>
  <si>
    <t>Năm 2019</t>
  </si>
  <si>
    <t>Năm 2020</t>
  </si>
  <si>
    <t>Năm 2021</t>
  </si>
  <si>
    <t>Năm 2022</t>
  </si>
  <si>
    <t>Năm 2023</t>
  </si>
  <si>
    <t>Năm 2024- 2025</t>
  </si>
  <si>
    <t>Năm 2026</t>
  </si>
  <si>
    <t>Số lượng</t>
  </si>
  <si>
    <t>Kinh phí</t>
  </si>
  <si>
    <t>số lượng</t>
  </si>
  <si>
    <t>TỔNG</t>
  </si>
  <si>
    <t>UBMTTQ Việt Nam cấp xã</t>
  </si>
  <si>
    <t xml:space="preserve"> -</t>
  </si>
  <si>
    <t>Xã khu vực III, II</t>
  </si>
  <si>
    <t>Xã khu vực I</t>
  </si>
  <si>
    <t>Ban công tác Mặt trận ở khu dân cư</t>
  </si>
  <si>
    <t>Khu dân cư có quy mô dân số dưới 700 hộ dân</t>
  </si>
  <si>
    <t>Khu dân cư có quy mô dân số cứ tăng thêm 200 hộ dân thì được hỗ trợ thêm 1.000.000 đồng/năm/khu dân cư so với định mức quy định tại Điểm a, Khoản 2, Điều này.</t>
  </si>
  <si>
    <t>Khối 18 phường Đông Kinh: 1.179 hộ dân</t>
  </si>
  <si>
    <t>Đối với các khu dân cư thuộc xã khu vực III, II (xã vùng khó khăn)</t>
  </si>
  <si>
    <t>Nội dung chi (theo Khoản 3, Khoản 4 Điều 3 TT121)</t>
  </si>
  <si>
    <t>Dự toán năm 2024</t>
  </si>
  <si>
    <t>Kinh phí thực hiện năm 2024</t>
  </si>
  <si>
    <t>Dự toán năm 2025</t>
  </si>
  <si>
    <t>Kinh phí thực hiện năm 2025</t>
  </si>
  <si>
    <t>Kinh phí năm 2026 (tính lại)</t>
  </si>
  <si>
    <t>Ước thực hiện năm 2026</t>
  </si>
  <si>
    <t>I</t>
  </si>
  <si>
    <t>Nội dung chi do Ủy ban Mặt trận Tổ quốc Việt Nam cấp xã tổ chức thực hiện (Khoản 3 Điều 3 TT121)</t>
  </si>
  <si>
    <t>Chi cho công tác phát động Nhân dân tham gia Cuộc vận động và hưởng ứng các phong trào thi đua - điểm a</t>
  </si>
  <si>
    <t>Chi tổ chức họp, bàn biện pháp triển khai thực hiện ở địa phương - điểm b</t>
  </si>
  <si>
    <t>Chi làm khẩu hiệu, pano, áp phích tuyên truyền cho Cuộc vận động - điểm c</t>
  </si>
  <si>
    <t>Chi công tác phí đi học tập trao đổi kinh nghiệm thực tế, tập huấn, hướng dẫn triển khai - điểm d</t>
  </si>
  <si>
    <t>Chi xây dựng mô hình, điển hình tiên tiến thực hiện Cuộc vận động - điểm đ</t>
  </si>
  <si>
    <t>Chi làm giấy ghi nhận, khung giấy ghi nhận, tiền thưởng cho tập thể, cá nhân, gia đình - điểm e</t>
  </si>
  <si>
    <t>Chi tổ chức lấy ý kiến về sự hài lòng của người dân - điểm g</t>
  </si>
  <si>
    <t>Chi sơ kết, tổng kết hằng năm, tổng kết 5 năm 2 lần; chi khen thưởng - điểm h</t>
  </si>
  <si>
    <t>Chi tổ chức Ngày hội đại đoàn kết toàn dân tộc cấp xã hằng năm (18/11) - điểm i</t>
  </si>
  <si>
    <t>Chi văn phòng phẩm, in ấn tài liệu và chi khác phục vụ Cuộc vận động - điểm k</t>
  </si>
  <si>
    <t>Cộng (I)</t>
  </si>
  <si>
    <t>II</t>
  </si>
  <si>
    <t>Nội dung chi do Ban công tác Mặt trận ở khu dân cư tổ chức thực hiện (Khoản 4 Điều 3 TT121)</t>
  </si>
  <si>
    <t>Chi tổ chức Ngày hội đại đoàn kết toàn dân tộc hằng năm (18/11) để tổng kết, biểu dương - điểm b</t>
  </si>
  <si>
    <t>Chi tổ chức thông tin, tuyên truyền của Ban công tác Mặt trận ở khu dân cư - điểm c</t>
  </si>
  <si>
    <t>Chi công tác phí đi học tập trao đổi, tập huấn, hướng dẫn triển khai thực hiện - điểm d</t>
  </si>
  <si>
    <t>Chi tiền xăng, xe đi vận động của Ban công tác Mặt trận ở khu dân cư - điểm đ</t>
  </si>
  <si>
    <t>Chi văn phòng phẩm, in ấn tài liệu và chi khác phục vụ Cuộc vận động - điểm e</t>
  </si>
  <si>
    <t>Các nội dung chi khác theo khoản 4 Điều 3 Thông tư số 121/2017/TT-BTC</t>
  </si>
  <si>
    <t>Cộng (II)</t>
  </si>
  <si>
    <t>TỔNG CỘNG (I + II)</t>
  </si>
  <si>
    <t>BẢNG SO SÁNH MỨC CHI HỖ TRỢ UBMTTQ CẤP XÃ VÀ BAN CÔNG TÁC MẶT TRẬN Ở KHU DÂN CƯ THEO THÔNG TƯ 121/2017/TT-BTC TẠI MỘT SỐ TỈNH</t>
  </si>
  <si>
    <t>Tỉnh</t>
  </si>
  <si>
    <t>Căn cứ (Nghị quyết HĐND tỉnh)</t>
  </si>
  <si>
    <t>Mức chi UBMTTQ cấp xã (đồng/xã/năm)</t>
  </si>
  <si>
    <t>Mức chi Ban CTMT khu dân cư (đồng/năm/khu dân cư)</t>
  </si>
  <si>
    <t>Năm ban hành / hiệu lực</t>
  </si>
  <si>
    <t>Hà Nội</t>
  </si>
  <si>
    <t>NQ số 07/2018/NQ-HĐND</t>
  </si>
  <si>
    <t>30 triệu (xã còn lại) / 37,5 triệu (xã khu vực II)</t>
  </si>
  <si>
    <t>7,5 triệu (&lt;700 hộ) + 1 triệu/200 hộ tăng thêm</t>
  </si>
  <si>
    <t>2018</t>
  </si>
  <si>
    <t>Địa bàn thủ đô, mặt bằng chi cao hơn nhiều tỉnh miền núi</t>
  </si>
  <si>
    <t>Thái Nguyên</t>
  </si>
  <si>
    <t>NQ số 44/2025/NQ-HĐND ngày 30/12/2025</t>
  </si>
  <si>
    <t>100 triệu (xã, phường còn lại) / 120 triệu (xã khó khăn, đặc biệt khó khăn)</t>
  </si>
  <si>
    <t>Khu dân cư thuộc xã khó khăn: 10 triệu đồng/ khu; khu dân cư còn lại: 8 triệu đồng/khu</t>
  </si>
  <si>
    <t>Tỉnh miền núi phía Bắc liền kề, quy mô KT-XH khá tương đồng</t>
  </si>
  <si>
    <t>Tuyên Quang (mới, sau hợp nhất với Hà Giang)</t>
  </si>
  <si>
    <t>NQ số 40/2025/NQ-HĐND ngày 10/12/2025, hiệu lực 01/01/2026</t>
  </si>
  <si>
    <t>40 triệu (xã/phường còn lại) / 50 triệu (xã khó khăn, ĐBKK vùng DTTS&amp;MN); +10 triệu nếu dân số 15.000-30.000 người; +20 triệu nếu dân số trên 30.000 người</t>
  </si>
  <si>
    <t>6 triệu (&lt;700 hộ) + 1 triệu/200 hộ tăng thêm; +1 triệu nếu thuộc xã khó khăn/ĐBKK</t>
  </si>
  <si>
    <t>Tỉnh miền núi mới sáp nhập</t>
  </si>
  <si>
    <t>Cao Bằng</t>
  </si>
  <si>
    <t>NQ số 08/2018/NQ-HĐND ngày 12/7/2018</t>
  </si>
  <si>
    <t>20 triệu (xã KV I,II) / 25 triệu (xã KV III, vùng khó khăn)</t>
  </si>
  <si>
    <t>5 triệu (&lt;700 hộ) + 1 triệu/200 hộ tăng thêm; +1 triệu nếu thuộc xã khó khăn/ĐBKK</t>
  </si>
  <si>
    <t>Chưa điều chỉnh (giữ nguyên mức sàn tối thiểu của Thông tư 121)</t>
  </si>
  <si>
    <t>Sơn La</t>
  </si>
  <si>
    <t>NQ số 74/2018/NQ-HĐND ngày 04/4/2018</t>
  </si>
  <si>
    <t>Xã ĐBKK (&gt;150 hộ: 7,5 triệu đồng, từ 100 - 150 hộ: 7 triệu đồng, từ 50-100 hộ: 6,5 triệu đồng, dưới 50 hộ: 6 triệu đồng); xã không thuộc địa bàn ĐBKK (&gt;150 hộ: 6,5 triệu đồng, từ 100 - 150 hộ: 6 triệu đồng, từ 50-100 hộ: 5,5 triệu đồng, dưới 50 hộ: 5 triệu đồng</t>
  </si>
  <si>
    <t>Chưa điều chỉnh</t>
  </si>
  <si>
    <t>Lai Châu</t>
  </si>
  <si>
    <t>NQ số 22/2018/NQ-HĐND ngày 10/12/2018</t>
  </si>
  <si>
    <t>20 triệu / 25 triệu (giữ mức tối thiểu theo TT121)</t>
  </si>
  <si>
    <t>&gt;300 hộ: 5 triệu đồng; từ 100 hộ - 300 hộ: 4,5 triệu đồng; dưới 100 hộ: 4 triệu đồng; khu dân cư của xã ĐBKK: bố trí thêm 1 triệu đồng</t>
  </si>
  <si>
    <t>Đăk Lăk</t>
  </si>
  <si>
    <t>NQ số 01/2018/NQ-HĐND ngày 05/7/2018</t>
  </si>
  <si>
    <t>Từ 1/7/2026 thực hiện sáp nhập thôn từ 1.646 thôn, còn 923 thôn. Kinh phí năm 2026 tính lại 6 tháng đầu năm là 1.646 thôn, tổ dân phố; 6 tháng cuối năm là 923 thôn, tổ dân phố</t>
  </si>
  <si>
    <t>BIỂU 01: TỔNG HỢP KINH PHÍ THỰC HIỆN CUỘC VẬN ĐỘNG "TOÀN DÂN ĐOÀN KẾT XÂY DỰNG NÔNG THÔN MỚI, ĐÔ THỊ VĂN MINH"</t>
  </si>
  <si>
    <t>BIỂU 02: TỔNG HỢP KINH PHÍ THEO TỪNG NỘI DUNG CHI QUY ĐỊNH TẠI ĐIỀU 3 THÔNG TƯ SỐ 121/2017/TT-BTC</t>
  </si>
  <si>
    <t>(Kèm theo Báo cáo số       /BC-STC ngày      tháng 10 năm 2026 của Sở Tài chính)</t>
  </si>
  <si>
    <t>Dự toán cấp đầu năm</t>
  </si>
  <si>
    <t>Dự toán tính toán lại sau khi sáp nhập thôn, tổ dân phố</t>
  </si>
  <si>
    <t>Tỷ lệ so sánh định mức hỗ trợ đề xuất mới với định mức hỗ trợ quy định tại Nghị quyết 05/2018/NQ-HĐND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</si>
</sst>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\-??_-;_-@_-"/>
    <numFmt numFmtId="165" formatCode="_-* #,##0.0_-;\-* #,##0.0_-;_-* \-??_-;_-@_-"/>
    <numFmt numFmtId="166" formatCode="_-* #,##0.00_-;\-* #,##0.00_-;_-* \-??_-;_-@_-"/>
    <numFmt numFmtId="167" formatCode="_-* #,##0.0_-;\-* #,##0.0_-;_-* &quot;-&quot;??_-;_-@_-"/>
  </numFmts>
  <fonts count="20" x14ac:knownFonts="1">
    <font>
      <sz val="11"/>
      <color theme="1"/>
      <name val="Aptos Narrow"/>
      <family val="2"/>
      <charset val="1"/>
    </font>
    <font>
      <sz val="10"/>
      <name val="Arial"/>
    </font>
    <font>
      <sz val="11"/>
      <color theme="1"/>
      <name val="Times New Roman"/>
      <family val="1"/>
      <charset val="1"/>
    </font>
    <font>
      <b/>
      <sz val="11"/>
      <color theme="1"/>
      <name val="Times New Roman"/>
      <family val="1"/>
      <charset val="1"/>
    </font>
    <font>
      <i/>
      <sz val="11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name val="Arial"/>
      <family val="2"/>
    </font>
    <font>
      <b/>
      <sz val="14"/>
      <name val="Times New Roman"/>
      <family val="1"/>
      <charset val="1"/>
    </font>
    <font>
      <i/>
      <sz val="14"/>
      <name val="Times New Roman"/>
      <family val="1"/>
      <charset val="1"/>
    </font>
    <font>
      <b/>
      <sz val="11"/>
      <name val="Times New Roman"/>
      <family val="1"/>
      <charset val="1"/>
    </font>
    <font>
      <i/>
      <sz val="9"/>
      <name val="Times New Roman"/>
      <family val="1"/>
      <charset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i/>
      <sz val="11"/>
      <color theme="1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/>
    <xf numFmtId="164" fontId="3" fillId="0" borderId="2" xfId="0" applyNumberFormat="1" applyFont="1" applyBorder="1"/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4" fontId="2" fillId="0" borderId="2" xfId="0" applyNumberFormat="1" applyFont="1" applyBorder="1"/>
    <xf numFmtId="164" fontId="2" fillId="0" borderId="0" xfId="0" applyNumberFormat="1" applyFont="1"/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/>
    </xf>
    <xf numFmtId="164" fontId="8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12" fillId="0" borderId="1" xfId="0" applyNumberFormat="1" applyFont="1" applyBorder="1"/>
    <xf numFmtId="165" fontId="12" fillId="0" borderId="1" xfId="0" applyNumberFormat="1" applyFont="1" applyBorder="1"/>
    <xf numFmtId="164" fontId="12" fillId="0" borderId="1" xfId="0" applyNumberFormat="1" applyFont="1" applyBorder="1"/>
    <xf numFmtId="0" fontId="2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164" fontId="14" fillId="0" borderId="1" xfId="0" applyNumberFormat="1" applyFont="1" applyBorder="1" applyAlignment="1">
      <alignment vertical="center"/>
    </xf>
    <xf numFmtId="164" fontId="16" fillId="0" borderId="1" xfId="0" applyNumberFormat="1" applyFont="1" applyBorder="1" applyAlignment="1">
      <alignment vertical="center"/>
    </xf>
    <xf numFmtId="167" fontId="15" fillId="0" borderId="1" xfId="1" applyNumberFormat="1" applyFont="1" applyBorder="1" applyAlignment="1">
      <alignment vertical="center" wrapText="1"/>
    </xf>
    <xf numFmtId="167" fontId="17" fillId="0" borderId="1" xfId="1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2">
    <cellStyle name="Bình thường" xfId="0" builtinId="0"/>
    <cellStyle name="Dấu phẩy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huvienphapluat.vn/phap-luat/tim-van-ban.aspx?keyword=582/Q&#272;-TTg&amp;area=2&amp;type=0&amp;match=False&amp;vc=True&amp;lan=1" TargetMode="External"/><Relationship Id="rId1" Type="http://schemas.openxmlformats.org/officeDocument/2006/relationships/hyperlink" Target="https://thuvienphapluat.vn/phap-luat/tim-van-ban.aspx?keyword=582/Q&#272;-TTg&amp;area=2&amp;type=0&amp;match=False&amp;vc=True&amp;lan=1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7"/>
  <sheetViews>
    <sheetView topLeftCell="A2" zoomScaleNormal="100" workbookViewId="0">
      <selection activeCell="Z4" sqref="Z4:Z7"/>
    </sheetView>
  </sheetViews>
  <sheetFormatPr defaultColWidth="9.140625" defaultRowHeight="15" x14ac:dyDescent="0.25"/>
  <cols>
    <col min="1" max="1" width="6.7109375" style="3" customWidth="1"/>
    <col min="2" max="2" width="27.42578125" style="3" customWidth="1"/>
    <col min="3" max="3" width="6.5703125" style="3" customWidth="1"/>
    <col min="4" max="4" width="7.85546875" style="3" customWidth="1"/>
    <col min="5" max="5" width="8.5703125" style="3" customWidth="1"/>
    <col min="6" max="6" width="8" style="3" customWidth="1"/>
    <col min="7" max="7" width="8.5703125" style="3" customWidth="1"/>
    <col min="8" max="8" width="7.85546875" style="3" customWidth="1"/>
    <col min="9" max="9" width="8.5703125" style="3" customWidth="1"/>
    <col min="10" max="10" width="7.28515625" style="3" customWidth="1"/>
    <col min="11" max="11" width="8.5703125" style="3" customWidth="1"/>
    <col min="12" max="12" width="7.140625" style="3" customWidth="1"/>
    <col min="13" max="13" width="8.5703125" style="3" customWidth="1"/>
    <col min="14" max="14" width="7.28515625" style="3" customWidth="1"/>
    <col min="15" max="15" width="8.5703125" style="3" customWidth="1"/>
    <col min="16" max="16" width="7.5703125" style="3" customWidth="1"/>
    <col min="17" max="19" width="8.5703125" style="3" customWidth="1"/>
    <col min="20" max="20" width="8" style="3" customWidth="1"/>
    <col min="21" max="21" width="11.28515625" style="3" customWidth="1"/>
    <col min="22" max="22" width="7" style="3" customWidth="1"/>
    <col min="23" max="23" width="8" style="3" customWidth="1"/>
    <col min="24" max="25" width="9.140625" style="3"/>
    <col min="26" max="26" width="18" style="3" customWidth="1"/>
    <col min="27" max="16384" width="9.140625" style="3"/>
  </cols>
  <sheetData>
    <row r="1" spans="1:26" ht="29.25" customHeight="1" x14ac:dyDescent="0.25">
      <c r="A1" s="39" t="s">
        <v>96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24.75" customHeight="1" x14ac:dyDescent="0.25">
      <c r="A2" s="40" t="s">
        <v>98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ht="15" customHeight="1" x14ac:dyDescent="0.25">
      <c r="V3" s="41" t="s">
        <v>0</v>
      </c>
      <c r="W3" s="41"/>
      <c r="X3" s="41"/>
      <c r="Y3" s="2"/>
      <c r="Z3" s="2"/>
    </row>
    <row r="4" spans="1:26" s="4" customFormat="1" ht="14.25" customHeight="1" x14ac:dyDescent="0.2">
      <c r="A4" s="42" t="s">
        <v>1</v>
      </c>
      <c r="B4" s="42" t="s">
        <v>2</v>
      </c>
      <c r="C4" s="43" t="s">
        <v>3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53" t="s">
        <v>4</v>
      </c>
      <c r="W4" s="57"/>
      <c r="X4" s="54"/>
      <c r="Y4" s="62" t="s">
        <v>101</v>
      </c>
      <c r="Z4" s="62" t="s">
        <v>5</v>
      </c>
    </row>
    <row r="5" spans="1:26" s="4" customFormat="1" ht="75" customHeight="1" x14ac:dyDescent="0.2">
      <c r="A5" s="42"/>
      <c r="B5" s="42"/>
      <c r="C5" s="42" t="s">
        <v>6</v>
      </c>
      <c r="D5" s="53" t="s">
        <v>7</v>
      </c>
      <c r="E5" s="54"/>
      <c r="F5" s="53" t="s">
        <v>8</v>
      </c>
      <c r="G5" s="54"/>
      <c r="H5" s="53" t="s">
        <v>9</v>
      </c>
      <c r="I5" s="54"/>
      <c r="J5" s="53" t="s">
        <v>10</v>
      </c>
      <c r="K5" s="54"/>
      <c r="L5" s="53" t="s">
        <v>11</v>
      </c>
      <c r="M5" s="54"/>
      <c r="N5" s="53" t="s">
        <v>12</v>
      </c>
      <c r="O5" s="54"/>
      <c r="P5" s="53" t="s">
        <v>13</v>
      </c>
      <c r="Q5" s="54"/>
      <c r="R5" s="51" t="s">
        <v>14</v>
      </c>
      <c r="S5" s="52"/>
      <c r="T5" s="52"/>
      <c r="U5" s="44"/>
      <c r="V5" s="58"/>
      <c r="W5" s="59"/>
      <c r="X5" s="60"/>
      <c r="Y5" s="63"/>
      <c r="Z5" s="63"/>
    </row>
    <row r="6" spans="1:26" s="4" customFormat="1" ht="75" customHeight="1" x14ac:dyDescent="0.2">
      <c r="A6" s="42"/>
      <c r="B6" s="42"/>
      <c r="C6" s="42"/>
      <c r="D6" s="55"/>
      <c r="E6" s="56"/>
      <c r="F6" s="55"/>
      <c r="G6" s="56"/>
      <c r="H6" s="55"/>
      <c r="I6" s="56"/>
      <c r="J6" s="55"/>
      <c r="K6" s="56"/>
      <c r="L6" s="55"/>
      <c r="M6" s="56"/>
      <c r="N6" s="55"/>
      <c r="O6" s="56"/>
      <c r="P6" s="55"/>
      <c r="Q6" s="56"/>
      <c r="R6" s="51" t="s">
        <v>99</v>
      </c>
      <c r="S6" s="44"/>
      <c r="T6" s="51" t="s">
        <v>100</v>
      </c>
      <c r="U6" s="44"/>
      <c r="V6" s="55"/>
      <c r="W6" s="61"/>
      <c r="X6" s="56"/>
      <c r="Y6" s="63"/>
      <c r="Z6" s="63"/>
    </row>
    <row r="7" spans="1:26" s="4" customFormat="1" ht="45.75" customHeight="1" x14ac:dyDescent="0.2">
      <c r="A7" s="42"/>
      <c r="B7" s="42"/>
      <c r="C7" s="42"/>
      <c r="D7" s="1" t="s">
        <v>15</v>
      </c>
      <c r="E7" s="1" t="s">
        <v>16</v>
      </c>
      <c r="F7" s="1" t="s">
        <v>15</v>
      </c>
      <c r="G7" s="1" t="s">
        <v>16</v>
      </c>
      <c r="H7" s="1" t="s">
        <v>15</v>
      </c>
      <c r="I7" s="1" t="s">
        <v>16</v>
      </c>
      <c r="J7" s="1" t="s">
        <v>15</v>
      </c>
      <c r="K7" s="1" t="s">
        <v>16</v>
      </c>
      <c r="L7" s="1" t="s">
        <v>15</v>
      </c>
      <c r="M7" s="1" t="s">
        <v>16</v>
      </c>
      <c r="N7" s="1" t="s">
        <v>15</v>
      </c>
      <c r="O7" s="1" t="s">
        <v>16</v>
      </c>
      <c r="P7" s="1" t="s">
        <v>15</v>
      </c>
      <c r="Q7" s="1" t="s">
        <v>16</v>
      </c>
      <c r="R7" s="1"/>
      <c r="S7" s="1"/>
      <c r="T7" s="1" t="s">
        <v>15</v>
      </c>
      <c r="U7" s="1" t="s">
        <v>16</v>
      </c>
      <c r="V7" s="1" t="s">
        <v>6</v>
      </c>
      <c r="W7" s="1" t="s">
        <v>17</v>
      </c>
      <c r="X7" s="1" t="s">
        <v>16</v>
      </c>
      <c r="Y7" s="64"/>
      <c r="Z7" s="64"/>
    </row>
    <row r="8" spans="1:26" s="4" customFormat="1" ht="15.75" customHeight="1" x14ac:dyDescent="0.2">
      <c r="A8" s="5"/>
      <c r="B8" s="5" t="s">
        <v>18</v>
      </c>
      <c r="C8" s="6"/>
      <c r="D8" s="6"/>
      <c r="E8" s="31">
        <f>E9+E12</f>
        <v>18632</v>
      </c>
      <c r="F8" s="31"/>
      <c r="G8" s="31">
        <f>G9+G12</f>
        <v>16934</v>
      </c>
      <c r="H8" s="31"/>
      <c r="I8" s="31">
        <f>I9+I12</f>
        <v>15282</v>
      </c>
      <c r="J8" s="31"/>
      <c r="K8" s="31">
        <f>K9+K12</f>
        <v>14438</v>
      </c>
      <c r="L8" s="31"/>
      <c r="M8" s="31">
        <f>M9+M12</f>
        <v>14018</v>
      </c>
      <c r="N8" s="31"/>
      <c r="O8" s="31">
        <f>O9+O12</f>
        <v>13914</v>
      </c>
      <c r="P8" s="31"/>
      <c r="Q8" s="31">
        <f>Q9+Q12</f>
        <v>13844</v>
      </c>
      <c r="R8" s="8"/>
      <c r="S8" s="7">
        <f>S9+S12</f>
        <v>10224</v>
      </c>
      <c r="T8" s="34"/>
      <c r="U8" s="37">
        <f>U9+U12</f>
        <v>8909.5</v>
      </c>
      <c r="V8" s="31"/>
      <c r="W8" s="31"/>
      <c r="X8" s="31">
        <f>X9+X12</f>
        <v>13004</v>
      </c>
      <c r="Y8" s="31"/>
      <c r="Z8" s="31"/>
    </row>
    <row r="9" spans="1:26" s="4" customFormat="1" ht="15.75" customHeight="1" x14ac:dyDescent="0.2">
      <c r="A9" s="9">
        <v>1</v>
      </c>
      <c r="B9" s="5" t="s">
        <v>19</v>
      </c>
      <c r="C9" s="10"/>
      <c r="D9" s="10"/>
      <c r="E9" s="31">
        <f>E10+E11</f>
        <v>5355</v>
      </c>
      <c r="F9" s="31"/>
      <c r="G9" s="31">
        <f>G10+G11</f>
        <v>5355</v>
      </c>
      <c r="H9" s="31"/>
      <c r="I9" s="31">
        <f>I10+I11</f>
        <v>4740</v>
      </c>
      <c r="J9" s="31"/>
      <c r="K9" s="31">
        <f>K10+K11</f>
        <v>4740</v>
      </c>
      <c r="L9" s="31"/>
      <c r="M9" s="31">
        <f>M10+M11</f>
        <v>4480</v>
      </c>
      <c r="N9" s="31"/>
      <c r="O9" s="31">
        <f>O10+O11</f>
        <v>4480</v>
      </c>
      <c r="P9" s="31"/>
      <c r="Q9" s="31">
        <f>Q10+Q11</f>
        <v>4480</v>
      </c>
      <c r="R9" s="8"/>
      <c r="S9" s="7">
        <f>S10+S11</f>
        <v>1435</v>
      </c>
      <c r="T9" s="34"/>
      <c r="U9" s="37">
        <f>U10+U11</f>
        <v>1555</v>
      </c>
      <c r="V9" s="31"/>
      <c r="W9" s="31"/>
      <c r="X9" s="31">
        <f>X10+X11</f>
        <v>3110</v>
      </c>
      <c r="Y9" s="31"/>
      <c r="Z9" s="31"/>
    </row>
    <row r="10" spans="1:26" ht="15.75" customHeight="1" x14ac:dyDescent="0.25">
      <c r="A10" s="11" t="s">
        <v>20</v>
      </c>
      <c r="B10" s="38" t="s">
        <v>21</v>
      </c>
      <c r="C10" s="12">
        <v>25</v>
      </c>
      <c r="D10" s="12">
        <v>167</v>
      </c>
      <c r="E10" s="13">
        <f>C10*D10</f>
        <v>4175</v>
      </c>
      <c r="F10" s="13">
        <v>167</v>
      </c>
      <c r="G10" s="13">
        <f>F10*$C$10</f>
        <v>4175</v>
      </c>
      <c r="H10" s="13">
        <v>148</v>
      </c>
      <c r="I10" s="13">
        <f>H10*$C$10</f>
        <v>3700</v>
      </c>
      <c r="J10" s="13">
        <v>148</v>
      </c>
      <c r="K10" s="13">
        <f>J10*$C$10</f>
        <v>3700</v>
      </c>
      <c r="L10" s="13">
        <v>96</v>
      </c>
      <c r="M10" s="13">
        <f>L10*$C$10</f>
        <v>2400</v>
      </c>
      <c r="N10" s="13">
        <v>96</v>
      </c>
      <c r="O10" s="13">
        <f>N10*$C$10</f>
        <v>2400</v>
      </c>
      <c r="P10" s="13">
        <v>96</v>
      </c>
      <c r="Q10" s="13">
        <f>P10*$C$10</f>
        <v>2400</v>
      </c>
      <c r="R10" s="14">
        <v>27</v>
      </c>
      <c r="S10" s="13">
        <f>R10*$C$10</f>
        <v>675</v>
      </c>
      <c r="T10" s="35">
        <v>51</v>
      </c>
      <c r="U10" s="36">
        <f>T10*$C$10</f>
        <v>1275</v>
      </c>
      <c r="V10" s="32">
        <v>50</v>
      </c>
      <c r="W10" s="32">
        <v>51</v>
      </c>
      <c r="X10" s="32">
        <f>W10*V10</f>
        <v>2550</v>
      </c>
      <c r="Y10" s="32">
        <f>V10/C10%</f>
        <v>200</v>
      </c>
      <c r="Z10" s="32"/>
    </row>
    <row r="11" spans="1:26" ht="15.75" customHeight="1" x14ac:dyDescent="0.25">
      <c r="A11" s="11" t="s">
        <v>20</v>
      </c>
      <c r="B11" s="16" t="s">
        <v>22</v>
      </c>
      <c r="C11" s="17">
        <v>20</v>
      </c>
      <c r="D11" s="17">
        <v>59</v>
      </c>
      <c r="E11" s="13">
        <f>C11*D11</f>
        <v>1180</v>
      </c>
      <c r="F11" s="13">
        <v>59</v>
      </c>
      <c r="G11" s="13">
        <f>F11*$C$11</f>
        <v>1180</v>
      </c>
      <c r="H11" s="13">
        <v>52</v>
      </c>
      <c r="I11" s="13">
        <f>H11*$C$11</f>
        <v>1040</v>
      </c>
      <c r="J11" s="13">
        <v>52</v>
      </c>
      <c r="K11" s="13">
        <f>J11*$C$11</f>
        <v>1040</v>
      </c>
      <c r="L11" s="13">
        <v>104</v>
      </c>
      <c r="M11" s="13">
        <f>L11*$C$11</f>
        <v>2080</v>
      </c>
      <c r="N11" s="13">
        <v>104</v>
      </c>
      <c r="O11" s="13">
        <f>N11*$C$11</f>
        <v>2080</v>
      </c>
      <c r="P11" s="13">
        <v>104</v>
      </c>
      <c r="Q11" s="13">
        <f>P11*$C$11</f>
        <v>2080</v>
      </c>
      <c r="R11" s="14">
        <v>38</v>
      </c>
      <c r="S11" s="13">
        <f>R11*$C$11</f>
        <v>760</v>
      </c>
      <c r="T11" s="35">
        <f>65-T10</f>
        <v>14</v>
      </c>
      <c r="U11" s="36">
        <f>T11*$C$11</f>
        <v>280</v>
      </c>
      <c r="V11" s="32">
        <v>40</v>
      </c>
      <c r="W11" s="32">
        <v>14</v>
      </c>
      <c r="X11" s="32">
        <f>W11*V11</f>
        <v>560</v>
      </c>
      <c r="Y11" s="32">
        <f>V11/C11%</f>
        <v>200</v>
      </c>
      <c r="Z11" s="32"/>
    </row>
    <row r="12" spans="1:26" s="4" customFormat="1" ht="15.75" customHeight="1" x14ac:dyDescent="0.2">
      <c r="A12" s="9">
        <v>2</v>
      </c>
      <c r="B12" s="5" t="s">
        <v>23</v>
      </c>
      <c r="C12" s="10"/>
      <c r="D12" s="10"/>
      <c r="E12" s="31">
        <f>E13+E14+E15</f>
        <v>13277</v>
      </c>
      <c r="F12" s="31"/>
      <c r="G12" s="31">
        <f>G13+G14+G15</f>
        <v>11579</v>
      </c>
      <c r="H12" s="31"/>
      <c r="I12" s="31">
        <f>I13+I14+I15</f>
        <v>10542</v>
      </c>
      <c r="J12" s="31"/>
      <c r="K12" s="31">
        <f>K13+K14+K15</f>
        <v>9698</v>
      </c>
      <c r="L12" s="31"/>
      <c r="M12" s="31">
        <f>M13+M14+M15</f>
        <v>9538</v>
      </c>
      <c r="N12" s="31"/>
      <c r="O12" s="31">
        <f>O13+O14+O15</f>
        <v>9434</v>
      </c>
      <c r="P12" s="31"/>
      <c r="Q12" s="31">
        <f>Q13+Q14+Q15</f>
        <v>9364</v>
      </c>
      <c r="R12" s="8"/>
      <c r="S12" s="7">
        <f>S13+S14+S15</f>
        <v>8789</v>
      </c>
      <c r="T12" s="34"/>
      <c r="U12" s="37">
        <f>U13+U14+U15</f>
        <v>7354.5</v>
      </c>
      <c r="V12" s="31"/>
      <c r="W12" s="31"/>
      <c r="X12" s="31">
        <f>X13+X14+X15</f>
        <v>9894</v>
      </c>
      <c r="Y12" s="31"/>
      <c r="Z12" s="31"/>
    </row>
    <row r="13" spans="1:26" ht="31.5" customHeight="1" x14ac:dyDescent="0.25">
      <c r="A13" s="11" t="s">
        <v>20</v>
      </c>
      <c r="B13" s="18" t="s">
        <v>24</v>
      </c>
      <c r="C13" s="13">
        <v>5</v>
      </c>
      <c r="D13" s="13">
        <v>2314</v>
      </c>
      <c r="E13" s="13">
        <f>C13*D13</f>
        <v>11570</v>
      </c>
      <c r="F13" s="13">
        <v>2026</v>
      </c>
      <c r="G13" s="13">
        <f>F13*$C$13</f>
        <v>10130</v>
      </c>
      <c r="H13" s="13">
        <v>1850</v>
      </c>
      <c r="I13" s="13">
        <f>H13*$C$13</f>
        <v>9250</v>
      </c>
      <c r="J13" s="13">
        <v>1705</v>
      </c>
      <c r="K13" s="13">
        <f>J13*$C$13</f>
        <v>8525</v>
      </c>
      <c r="L13" s="13">
        <v>1676</v>
      </c>
      <c r="M13" s="13">
        <f>L13*$C$13</f>
        <v>8380</v>
      </c>
      <c r="N13" s="13">
        <v>1658</v>
      </c>
      <c r="O13" s="13">
        <f>N13*$C$13</f>
        <v>8290</v>
      </c>
      <c r="P13" s="13">
        <v>1646</v>
      </c>
      <c r="Q13" s="13">
        <f>P13*$C$13</f>
        <v>8230</v>
      </c>
      <c r="R13" s="14">
        <v>1646</v>
      </c>
      <c r="S13" s="13">
        <f>R13*$C$13</f>
        <v>8230</v>
      </c>
      <c r="T13" s="35">
        <v>1646</v>
      </c>
      <c r="U13" s="36">
        <f>T13*$C$13/2+W13*C13/2</f>
        <v>6422.5</v>
      </c>
      <c r="V13" s="32">
        <v>10</v>
      </c>
      <c r="W13" s="32">
        <v>923</v>
      </c>
      <c r="X13" s="32">
        <f>W13*V13</f>
        <v>9230</v>
      </c>
      <c r="Y13" s="32">
        <f>V13/C13%</f>
        <v>200</v>
      </c>
      <c r="Z13" s="45" t="s">
        <v>95</v>
      </c>
    </row>
    <row r="14" spans="1:26" ht="90" customHeight="1" x14ac:dyDescent="0.25">
      <c r="A14" s="11" t="s">
        <v>20</v>
      </c>
      <c r="B14" s="19" t="s">
        <v>25</v>
      </c>
      <c r="C14" s="20">
        <v>1</v>
      </c>
      <c r="D14" s="20"/>
      <c r="E14" s="13">
        <f>C14*D14</f>
        <v>0</v>
      </c>
      <c r="F14" s="13"/>
      <c r="G14" s="13">
        <f>F14*$C$14</f>
        <v>0</v>
      </c>
      <c r="H14" s="13"/>
      <c r="I14" s="13">
        <f>H14*$C$14</f>
        <v>0</v>
      </c>
      <c r="J14" s="13"/>
      <c r="K14" s="13">
        <f>J14*$C$14</f>
        <v>0</v>
      </c>
      <c r="L14" s="13"/>
      <c r="M14" s="13">
        <f>L14*$C$14</f>
        <v>0</v>
      </c>
      <c r="N14" s="13"/>
      <c r="O14" s="13">
        <f>N14*$C$14</f>
        <v>0</v>
      </c>
      <c r="P14" s="13"/>
      <c r="Q14" s="13">
        <f>P14*$C$14</f>
        <v>0</v>
      </c>
      <c r="R14" s="14">
        <v>0</v>
      </c>
      <c r="S14" s="13">
        <f>R14*$C$14</f>
        <v>0</v>
      </c>
      <c r="T14" s="35">
        <v>1</v>
      </c>
      <c r="U14" s="36">
        <v>2</v>
      </c>
      <c r="V14" s="32">
        <v>1</v>
      </c>
      <c r="W14" s="33" t="s">
        <v>26</v>
      </c>
      <c r="X14" s="32">
        <v>2</v>
      </c>
      <c r="Y14" s="32">
        <f>V14/C14%</f>
        <v>100</v>
      </c>
      <c r="Z14" s="45"/>
    </row>
    <row r="15" spans="1:26" ht="31.5" customHeight="1" x14ac:dyDescent="0.25">
      <c r="A15" s="11" t="s">
        <v>20</v>
      </c>
      <c r="B15" s="38" t="s">
        <v>27</v>
      </c>
      <c r="C15" s="12">
        <v>1</v>
      </c>
      <c r="D15" s="12">
        <v>1707</v>
      </c>
      <c r="E15" s="13">
        <f>C15*D15</f>
        <v>1707</v>
      </c>
      <c r="F15" s="13">
        <v>1449</v>
      </c>
      <c r="G15" s="13">
        <f>F15*$C$15</f>
        <v>1449</v>
      </c>
      <c r="H15" s="13">
        <v>1292</v>
      </c>
      <c r="I15" s="13">
        <f>H15*$C$15</f>
        <v>1292</v>
      </c>
      <c r="J15" s="13">
        <v>1173</v>
      </c>
      <c r="K15" s="13">
        <f>J15*$C$15</f>
        <v>1173</v>
      </c>
      <c r="L15" s="13">
        <v>1158</v>
      </c>
      <c r="M15" s="13">
        <f>L15*$C$15</f>
        <v>1158</v>
      </c>
      <c r="N15" s="13">
        <v>1144</v>
      </c>
      <c r="O15" s="13">
        <f>N15*$C$15</f>
        <v>1144</v>
      </c>
      <c r="P15" s="13">
        <v>1134</v>
      </c>
      <c r="Q15" s="13">
        <f>P15*$C$15</f>
        <v>1134</v>
      </c>
      <c r="R15" s="21">
        <v>559</v>
      </c>
      <c r="S15" s="13">
        <f>R15*$C$15</f>
        <v>559</v>
      </c>
      <c r="T15" s="35">
        <v>1198</v>
      </c>
      <c r="U15" s="36">
        <f>T15*$C$15/2+W15*1/2</f>
        <v>930</v>
      </c>
      <c r="V15" s="17">
        <v>1</v>
      </c>
      <c r="W15" s="17">
        <v>662</v>
      </c>
      <c r="X15" s="17">
        <f>W15*V15</f>
        <v>662</v>
      </c>
      <c r="Y15" s="32">
        <f>V15/C15%</f>
        <v>100</v>
      </c>
      <c r="Z15" s="45"/>
    </row>
    <row r="17" spans="4:19" ht="15" customHeight="1" x14ac:dyDescent="0.25">
      <c r="D17" s="15"/>
    </row>
    <row r="19" spans="4:19" x14ac:dyDescent="0.25">
      <c r="E19" s="15"/>
    </row>
    <row r="20" spans="4:19" ht="15" customHeight="1" x14ac:dyDescent="0.25">
      <c r="D20" s="15"/>
    </row>
    <row r="21" spans="4:19" ht="15" customHeight="1" x14ac:dyDescent="0.25"/>
    <row r="22" spans="4:19" ht="15" customHeight="1" x14ac:dyDescent="0.25"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4:19" ht="15" customHeight="1" x14ac:dyDescent="0.25"/>
    <row r="24" spans="4:19" ht="15" customHeight="1" x14ac:dyDescent="0.25"/>
    <row r="25" spans="4:19" ht="15" customHeight="1" x14ac:dyDescent="0.25"/>
    <row r="26" spans="4:19" ht="15" customHeight="1" x14ac:dyDescent="0.25"/>
    <row r="27" spans="4:19" ht="15" customHeight="1" x14ac:dyDescent="0.25"/>
  </sheetData>
  <mergeCells count="21">
    <mergeCell ref="Z13:Z15"/>
    <mergeCell ref="C5:C7"/>
    <mergeCell ref="R5:U5"/>
    <mergeCell ref="P5:Q6"/>
    <mergeCell ref="N5:O6"/>
    <mergeCell ref="L5:M6"/>
    <mergeCell ref="A1:Z1"/>
    <mergeCell ref="A2:Z2"/>
    <mergeCell ref="V3:X3"/>
    <mergeCell ref="A4:A7"/>
    <mergeCell ref="B4:B7"/>
    <mergeCell ref="C4:U4"/>
    <mergeCell ref="J5:K6"/>
    <mergeCell ref="H5:I6"/>
    <mergeCell ref="F5:G6"/>
    <mergeCell ref="D5:E6"/>
    <mergeCell ref="R6:S6"/>
    <mergeCell ref="T6:U6"/>
    <mergeCell ref="V4:X6"/>
    <mergeCell ref="Y4:Y7"/>
    <mergeCell ref="Z4:Z7"/>
  </mergeCells>
  <hyperlinks>
    <hyperlink ref="B10" r:id="rId1" xr:uid="{00000000-0004-0000-0000-000000000000}"/>
    <hyperlink ref="B15" r:id="rId2" xr:uid="{00000000-0004-0000-0000-000001000000}"/>
  </hyperlinks>
  <pageMargins left="0.31496062992125984" right="0.31496062992125984" top="0.74803149606299213" bottom="0.74803149606299213" header="0.51181102362204722" footer="0.51181102362204722"/>
  <pageSetup paperSize="9" scale="58" orientation="landscape" horizontalDpi="300" verticalDpi="300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zoomScaleNormal="100" workbookViewId="0">
      <pane ySplit="5" topLeftCell="A21" activePane="bottomLeft" state="frozen"/>
      <selection pane="bottomLeft" activeCell="D11" sqref="D11"/>
    </sheetView>
  </sheetViews>
  <sheetFormatPr defaultColWidth="9.140625" defaultRowHeight="15" x14ac:dyDescent="0.25"/>
  <cols>
    <col min="1" max="1" width="5" style="3" customWidth="1"/>
    <col min="2" max="2" width="52" style="3" customWidth="1"/>
    <col min="3" max="8" width="11.140625" style="3" customWidth="1"/>
    <col min="9" max="9" width="34" style="3" customWidth="1"/>
    <col min="10" max="16384" width="9.140625" style="3"/>
  </cols>
  <sheetData>
    <row r="1" spans="1:9" ht="41.25" customHeight="1" x14ac:dyDescent="0.25">
      <c r="A1" s="47" t="s">
        <v>97</v>
      </c>
      <c r="B1" s="47"/>
      <c r="C1" s="47"/>
      <c r="D1" s="47"/>
      <c r="E1" s="47"/>
      <c r="F1" s="47"/>
      <c r="G1" s="47"/>
      <c r="H1" s="47"/>
      <c r="I1" s="47"/>
    </row>
    <row r="2" spans="1:9" ht="41.25" customHeight="1" x14ac:dyDescent="0.25">
      <c r="A2" s="49" t="str">
        <f>'Kp bo tri du toan'!A2:Z2</f>
        <v>(Kèm theo Báo cáo số       /BC-STC ngày      tháng 10 năm 2026 của Sở Tài chính)</v>
      </c>
      <c r="B2" s="49"/>
      <c r="C2" s="49"/>
      <c r="D2" s="49"/>
      <c r="E2" s="49"/>
      <c r="F2" s="49"/>
      <c r="G2" s="49"/>
      <c r="H2" s="49"/>
      <c r="I2" s="49"/>
    </row>
    <row r="3" spans="1:9" ht="18.75" customHeight="1" x14ac:dyDescent="0.3">
      <c r="A3" s="48" t="s">
        <v>0</v>
      </c>
      <c r="B3" s="48"/>
      <c r="C3" s="48"/>
      <c r="D3" s="48"/>
      <c r="E3" s="48"/>
      <c r="F3" s="48"/>
      <c r="G3" s="48"/>
      <c r="H3" s="48"/>
      <c r="I3" s="48"/>
    </row>
    <row r="5" spans="1:9" ht="42.75" customHeight="1" x14ac:dyDescent="0.25">
      <c r="A5" s="22" t="s">
        <v>1</v>
      </c>
      <c r="B5" s="22" t="s">
        <v>28</v>
      </c>
      <c r="C5" s="22" t="s">
        <v>29</v>
      </c>
      <c r="D5" s="22" t="s">
        <v>30</v>
      </c>
      <c r="E5" s="22" t="s">
        <v>31</v>
      </c>
      <c r="F5" s="22" t="s">
        <v>32</v>
      </c>
      <c r="G5" s="22" t="s">
        <v>33</v>
      </c>
      <c r="H5" s="22" t="s">
        <v>34</v>
      </c>
      <c r="I5" s="22" t="s">
        <v>5</v>
      </c>
    </row>
    <row r="6" spans="1:9" ht="15" customHeight="1" x14ac:dyDescent="0.25">
      <c r="A6" s="23" t="s">
        <v>35</v>
      </c>
      <c r="B6" s="23" t="s">
        <v>36</v>
      </c>
      <c r="C6" s="23"/>
      <c r="D6" s="24"/>
      <c r="E6" s="24"/>
      <c r="F6" s="24"/>
      <c r="G6" s="24"/>
      <c r="H6" s="24"/>
      <c r="I6" s="24"/>
    </row>
    <row r="7" spans="1:9" ht="30" customHeight="1" x14ac:dyDescent="0.25">
      <c r="A7" s="24">
        <v>1</v>
      </c>
      <c r="B7" s="25" t="s">
        <v>37</v>
      </c>
      <c r="C7" s="25"/>
      <c r="D7" s="26">
        <f>ROUND(1130.4/4440*C17,1)</f>
        <v>1140.5999999999999</v>
      </c>
      <c r="E7" s="26"/>
      <c r="F7" s="26">
        <f>ROUND(1174.6/4440*E17,1)</f>
        <v>1185.2</v>
      </c>
      <c r="G7" s="26"/>
      <c r="H7" s="26">
        <f>ROUND(1174.6/4440*G17,1)</f>
        <v>411.4</v>
      </c>
      <c r="I7" s="24"/>
    </row>
    <row r="8" spans="1:9" ht="30" customHeight="1" x14ac:dyDescent="0.25">
      <c r="A8" s="24">
        <v>2</v>
      </c>
      <c r="B8" s="25" t="s">
        <v>38</v>
      </c>
      <c r="C8" s="25"/>
      <c r="D8" s="26">
        <f>ROUND(99.2/4440*C17,1)</f>
        <v>100.1</v>
      </c>
      <c r="E8" s="26"/>
      <c r="F8" s="26">
        <f>ROUND(112.1/4440*E17,1)</f>
        <v>113.1</v>
      </c>
      <c r="G8" s="26"/>
      <c r="H8" s="26">
        <f>ROUND(112.1/4440*G17,1)</f>
        <v>39.299999999999997</v>
      </c>
      <c r="I8" s="24"/>
    </row>
    <row r="9" spans="1:9" ht="30" customHeight="1" x14ac:dyDescent="0.25">
      <c r="A9" s="24">
        <v>3</v>
      </c>
      <c r="B9" s="25" t="s">
        <v>39</v>
      </c>
      <c r="C9" s="25"/>
      <c r="D9" s="26">
        <f>ROUND(141.3/4440*C17,1)</f>
        <v>142.6</v>
      </c>
      <c r="E9" s="26"/>
      <c r="F9" s="26">
        <f>ROUND(111.7/4440*E17,1)</f>
        <v>112.7</v>
      </c>
      <c r="G9" s="26"/>
      <c r="H9" s="26">
        <f>ROUND(111.7/4440*G17,1)</f>
        <v>39.1</v>
      </c>
      <c r="I9" s="24"/>
    </row>
    <row r="10" spans="1:9" ht="30" customHeight="1" x14ac:dyDescent="0.25">
      <c r="A10" s="24">
        <v>4</v>
      </c>
      <c r="B10" s="25" t="s">
        <v>40</v>
      </c>
      <c r="C10" s="25"/>
      <c r="D10" s="26">
        <f>ROUND(56.4/4440*C17,1)</f>
        <v>56.9</v>
      </c>
      <c r="E10" s="26"/>
      <c r="F10" s="26">
        <f>ROUND(54.9/4440*E17,1)</f>
        <v>55.4</v>
      </c>
      <c r="G10" s="26"/>
      <c r="H10" s="26">
        <f>ROUND(54.9/4440*G17,1)</f>
        <v>19.2</v>
      </c>
      <c r="I10" s="24"/>
    </row>
    <row r="11" spans="1:9" ht="30" customHeight="1" x14ac:dyDescent="0.25">
      <c r="A11" s="24">
        <v>5</v>
      </c>
      <c r="B11" s="25" t="s">
        <v>41</v>
      </c>
      <c r="C11" s="25"/>
      <c r="D11" s="26">
        <f>ROUND(50.6/4440*C17,1)</f>
        <v>51.1</v>
      </c>
      <c r="E11" s="26"/>
      <c r="F11" s="26">
        <f>ROUND(44.6/4440*E17,1)</f>
        <v>45</v>
      </c>
      <c r="G11" s="26"/>
      <c r="H11" s="26">
        <f>ROUND(44.6/4440*G17,1)</f>
        <v>15.6</v>
      </c>
      <c r="I11" s="24"/>
    </row>
    <row r="12" spans="1:9" ht="30" customHeight="1" x14ac:dyDescent="0.25">
      <c r="A12" s="24">
        <v>6</v>
      </c>
      <c r="B12" s="25" t="s">
        <v>42</v>
      </c>
      <c r="C12" s="25"/>
      <c r="D12" s="26">
        <f>ROUND(223.8/4440*C17,1)</f>
        <v>225.8</v>
      </c>
      <c r="E12" s="26"/>
      <c r="F12" s="26">
        <f>ROUND(204.1/4440*E17,1)</f>
        <v>205.9</v>
      </c>
      <c r="G12" s="26"/>
      <c r="H12" s="26">
        <f>ROUND(204.1/4440*G17,1)</f>
        <v>71.5</v>
      </c>
      <c r="I12" s="24"/>
    </row>
    <row r="13" spans="1:9" ht="30" customHeight="1" x14ac:dyDescent="0.25">
      <c r="A13" s="24">
        <v>7</v>
      </c>
      <c r="B13" s="25" t="s">
        <v>43</v>
      </c>
      <c r="C13" s="25"/>
      <c r="D13" s="26">
        <f>ROUND(89.5/4440*C17,1)</f>
        <v>90.3</v>
      </c>
      <c r="E13" s="26"/>
      <c r="F13" s="26">
        <f>ROUND(78.9/4440*E17,1)</f>
        <v>79.599999999999994</v>
      </c>
      <c r="G13" s="26"/>
      <c r="H13" s="26">
        <f>ROUND(78.9/4440*G17,1)</f>
        <v>27.6</v>
      </c>
      <c r="I13" s="24"/>
    </row>
    <row r="14" spans="1:9" ht="30" customHeight="1" x14ac:dyDescent="0.25">
      <c r="A14" s="24">
        <v>8</v>
      </c>
      <c r="B14" s="25" t="s">
        <v>44</v>
      </c>
      <c r="C14" s="25"/>
      <c r="D14" s="26">
        <f>ROUND(475.1/4440*C17,1)</f>
        <v>479.4</v>
      </c>
      <c r="E14" s="26"/>
      <c r="F14" s="26">
        <f>ROUND(493.6/4440*E17,1)</f>
        <v>498</v>
      </c>
      <c r="G14" s="26"/>
      <c r="H14" s="26">
        <f>ROUND(493.6/4440*G17,1)</f>
        <v>172.9</v>
      </c>
      <c r="I14" s="24"/>
    </row>
    <row r="15" spans="1:9" ht="45" customHeight="1" x14ac:dyDescent="0.25">
      <c r="A15" s="24">
        <v>9</v>
      </c>
      <c r="B15" s="25" t="s">
        <v>45</v>
      </c>
      <c r="C15" s="25"/>
      <c r="D15" s="26">
        <f>ROUND(1473.3/4440*C17,1)</f>
        <v>1486.6</v>
      </c>
      <c r="E15" s="26"/>
      <c r="F15" s="26">
        <f>ROUND(1473.7/4440*E17,1)</f>
        <v>1487</v>
      </c>
      <c r="G15" s="26"/>
      <c r="H15" s="26">
        <f>ROUND(1473.7/4440*G17,1)</f>
        <v>516.1</v>
      </c>
      <c r="I15" s="25"/>
    </row>
    <row r="16" spans="1:9" ht="30" customHeight="1" x14ac:dyDescent="0.25">
      <c r="A16" s="24">
        <v>10</v>
      </c>
      <c r="B16" s="25" t="s">
        <v>46</v>
      </c>
      <c r="C16" s="25"/>
      <c r="D16" s="26">
        <f>C17-SUM(D7:D15)</f>
        <v>706.60000000000036</v>
      </c>
      <c r="E16" s="26"/>
      <c r="F16" s="26">
        <f>E17-SUM(F7:F15)</f>
        <v>698.09999999999991</v>
      </c>
      <c r="G16" s="26"/>
      <c r="H16" s="26">
        <f>G17-SUM(H7:H15)</f>
        <v>242.29999999999995</v>
      </c>
      <c r="I16" s="24"/>
    </row>
    <row r="17" spans="1:9" ht="15" customHeight="1" x14ac:dyDescent="0.25">
      <c r="A17" s="24"/>
      <c r="B17" s="23" t="s">
        <v>47</v>
      </c>
      <c r="C17" s="27">
        <f>'Kp bo tri du toan'!Q9</f>
        <v>4480</v>
      </c>
      <c r="D17" s="28">
        <f>SUM(D7:D16)</f>
        <v>4480</v>
      </c>
      <c r="E17" s="28">
        <f>'Kp bo tri du toan'!Q9</f>
        <v>4480</v>
      </c>
      <c r="F17" s="28">
        <f>SUM(F7:F16)</f>
        <v>4480</v>
      </c>
      <c r="G17" s="28">
        <f>'Kp bo tri du toan'!U9</f>
        <v>1555</v>
      </c>
      <c r="H17" s="28">
        <f>SUM(H7:H16)</f>
        <v>1555</v>
      </c>
      <c r="I17" s="24"/>
    </row>
    <row r="18" spans="1:9" ht="15" customHeight="1" x14ac:dyDescent="0.25">
      <c r="A18" s="23" t="s">
        <v>48</v>
      </c>
      <c r="B18" s="23" t="s">
        <v>49</v>
      </c>
      <c r="C18" s="23"/>
      <c r="D18" s="26"/>
      <c r="E18" s="26"/>
      <c r="F18" s="26"/>
      <c r="G18" s="26"/>
      <c r="H18" s="26"/>
      <c r="I18" s="24"/>
    </row>
    <row r="19" spans="1:9" ht="45" customHeight="1" x14ac:dyDescent="0.25">
      <c r="A19" s="24">
        <v>1</v>
      </c>
      <c r="B19" s="25" t="s">
        <v>50</v>
      </c>
      <c r="C19" s="25"/>
      <c r="D19" s="26">
        <f>ROUND(4494.9/9040.1*C25,1)</f>
        <v>4655.8999999999996</v>
      </c>
      <c r="E19" s="26"/>
      <c r="F19" s="26">
        <f>ROUND(3793.8/9040.1*E25,1)</f>
        <v>3929.7</v>
      </c>
      <c r="G19" s="26"/>
      <c r="H19" s="26">
        <f>ROUND(3793.8/9040.1*G25,1)</f>
        <v>3086.4</v>
      </c>
      <c r="I19" s="25"/>
    </row>
    <row r="20" spans="1:9" ht="30" customHeight="1" x14ac:dyDescent="0.25">
      <c r="A20" s="24">
        <v>2</v>
      </c>
      <c r="B20" s="25" t="s">
        <v>51</v>
      </c>
      <c r="C20" s="25"/>
      <c r="D20" s="26">
        <f>ROUND(1463.6/9040.1*C25,1)</f>
        <v>1516</v>
      </c>
      <c r="E20" s="26"/>
      <c r="F20" s="26">
        <f>ROUND(1217/9040.1*E25,1)</f>
        <v>1260.5999999999999</v>
      </c>
      <c r="G20" s="26"/>
      <c r="H20" s="26">
        <f>ROUND(1217/9040.1*G25,1)</f>
        <v>990.1</v>
      </c>
      <c r="I20" s="24"/>
    </row>
    <row r="21" spans="1:9" ht="30" customHeight="1" x14ac:dyDescent="0.25">
      <c r="A21" s="24">
        <v>3</v>
      </c>
      <c r="B21" s="25" t="s">
        <v>52</v>
      </c>
      <c r="C21" s="25"/>
      <c r="D21" s="26">
        <f>ROUND(54.6/9040.1*C25,1)</f>
        <v>56.6</v>
      </c>
      <c r="E21" s="26"/>
      <c r="F21" s="26">
        <f>ROUND(46.3/9040.1*E25,1)</f>
        <v>48</v>
      </c>
      <c r="G21" s="26"/>
      <c r="H21" s="26">
        <f>ROUND(46.3/9040.1*G25,1)</f>
        <v>37.700000000000003</v>
      </c>
      <c r="I21" s="24"/>
    </row>
    <row r="22" spans="1:9" ht="30" customHeight="1" x14ac:dyDescent="0.25">
      <c r="A22" s="24">
        <v>4</v>
      </c>
      <c r="B22" s="25" t="s">
        <v>53</v>
      </c>
      <c r="C22" s="25"/>
      <c r="D22" s="26">
        <f>ROUND(306/9040.1*C25,1)</f>
        <v>317</v>
      </c>
      <c r="E22" s="26"/>
      <c r="F22" s="26">
        <f>ROUND(683.8/9040.1*E25,1)</f>
        <v>708.3</v>
      </c>
      <c r="G22" s="26"/>
      <c r="H22" s="26">
        <f>ROUND(683.8/9040.1*G25,1)</f>
        <v>556.29999999999995</v>
      </c>
      <c r="I22" s="24"/>
    </row>
    <row r="23" spans="1:9" ht="30" customHeight="1" x14ac:dyDescent="0.25">
      <c r="A23" s="24">
        <v>5</v>
      </c>
      <c r="B23" s="25" t="s">
        <v>54</v>
      </c>
      <c r="C23" s="25"/>
      <c r="D23" s="26">
        <f>ROUND(578.8/9040.1*C25,1)</f>
        <v>599.5</v>
      </c>
      <c r="E23" s="26"/>
      <c r="F23" s="26">
        <f>ROUND(673.9/9040.1*E25,1)</f>
        <v>698</v>
      </c>
      <c r="G23" s="26"/>
      <c r="H23" s="26">
        <f>ROUND(673.9/9040.1*G25,1)</f>
        <v>548.20000000000005</v>
      </c>
      <c r="I23" s="24"/>
    </row>
    <row r="24" spans="1:9" ht="30" customHeight="1" x14ac:dyDescent="0.25">
      <c r="A24" s="24">
        <v>6</v>
      </c>
      <c r="B24" s="25" t="s">
        <v>55</v>
      </c>
      <c r="C24" s="25"/>
      <c r="D24" s="26">
        <f>C25-SUM(D19:D23)</f>
        <v>2219</v>
      </c>
      <c r="E24" s="26"/>
      <c r="F24" s="26">
        <f>E25-SUM(F19:F23)</f>
        <v>2719.4000000000005</v>
      </c>
      <c r="G24" s="26"/>
      <c r="H24" s="26">
        <f>G25-SUM(H19:H23)</f>
        <v>2135.8000000000002</v>
      </c>
      <c r="I24" s="24"/>
    </row>
    <row r="25" spans="1:9" ht="15" customHeight="1" x14ac:dyDescent="0.25">
      <c r="A25" s="24"/>
      <c r="B25" s="23" t="s">
        <v>56</v>
      </c>
      <c r="C25" s="29">
        <f>'Kp bo tri du toan'!Q12</f>
        <v>9364</v>
      </c>
      <c r="D25" s="28">
        <f>SUM(D19:D24)</f>
        <v>9364</v>
      </c>
      <c r="E25" s="28">
        <f>'Kp bo tri du toan'!Q12</f>
        <v>9364</v>
      </c>
      <c r="F25" s="28">
        <f>SUM(F19:F24)</f>
        <v>9364</v>
      </c>
      <c r="G25" s="28">
        <f>'Kp bo tri du toan'!U12</f>
        <v>7354.5</v>
      </c>
      <c r="H25" s="28">
        <f>SUM(H19:H24)</f>
        <v>7354.5</v>
      </c>
      <c r="I25" s="24"/>
    </row>
    <row r="26" spans="1:9" ht="15" customHeight="1" x14ac:dyDescent="0.25">
      <c r="A26" s="24"/>
      <c r="B26" s="23" t="s">
        <v>57</v>
      </c>
      <c r="C26" s="28">
        <f t="shared" ref="C26:H26" si="0">C17+C25</f>
        <v>13844</v>
      </c>
      <c r="D26" s="28">
        <f t="shared" si="0"/>
        <v>13844</v>
      </c>
      <c r="E26" s="28">
        <f t="shared" si="0"/>
        <v>13844</v>
      </c>
      <c r="F26" s="28">
        <f t="shared" si="0"/>
        <v>13844</v>
      </c>
      <c r="G26" s="28">
        <f t="shared" si="0"/>
        <v>8909.5</v>
      </c>
      <c r="H26" s="28">
        <f t="shared" si="0"/>
        <v>8909.5</v>
      </c>
      <c r="I26" s="24"/>
    </row>
    <row r="28" spans="1:9" ht="15" customHeight="1" x14ac:dyDescent="0.25">
      <c r="A28" s="46"/>
      <c r="B28" s="46"/>
      <c r="C28" s="46"/>
      <c r="D28" s="46"/>
      <c r="E28" s="46"/>
      <c r="F28" s="46"/>
      <c r="G28" s="46"/>
      <c r="H28" s="46"/>
      <c r="I28" s="46"/>
    </row>
    <row r="29" spans="1:9" ht="15" customHeight="1" x14ac:dyDescent="0.25">
      <c r="A29" s="46"/>
      <c r="B29" s="46"/>
      <c r="C29" s="46"/>
      <c r="D29" s="46"/>
      <c r="E29" s="46"/>
      <c r="F29" s="46"/>
      <c r="G29" s="46"/>
      <c r="H29" s="46"/>
      <c r="I29" s="46"/>
    </row>
    <row r="30" spans="1:9" ht="15" customHeight="1" x14ac:dyDescent="0.25">
      <c r="A30" s="46"/>
      <c r="B30" s="46"/>
      <c r="C30" s="46"/>
      <c r="D30" s="46"/>
      <c r="E30" s="46"/>
      <c r="F30" s="46"/>
      <c r="G30" s="46"/>
      <c r="H30" s="46"/>
      <c r="I30" s="46"/>
    </row>
    <row r="31" spans="1:9" ht="15" customHeight="1" x14ac:dyDescent="0.25">
      <c r="A31" s="46"/>
      <c r="B31" s="46"/>
      <c r="C31" s="46"/>
      <c r="D31" s="46"/>
      <c r="E31" s="46"/>
      <c r="F31" s="46"/>
      <c r="G31" s="46"/>
      <c r="H31" s="46"/>
      <c r="I31" s="46"/>
    </row>
    <row r="32" spans="1:9" ht="15" customHeight="1" x14ac:dyDescent="0.25">
      <c r="A32" s="46"/>
      <c r="B32" s="46"/>
      <c r="C32" s="46"/>
      <c r="D32" s="46"/>
      <c r="E32" s="46"/>
      <c r="F32" s="46"/>
      <c r="G32" s="46"/>
      <c r="H32" s="46"/>
      <c r="I32" s="46"/>
    </row>
    <row r="33" spans="1:9" ht="15" customHeight="1" x14ac:dyDescent="0.25">
      <c r="A33" s="46"/>
      <c r="B33" s="46"/>
      <c r="C33" s="46"/>
      <c r="D33" s="46"/>
      <c r="E33" s="46"/>
      <c r="F33" s="46"/>
      <c r="G33" s="46"/>
      <c r="H33" s="46"/>
      <c r="I33" s="46"/>
    </row>
  </sheetData>
  <mergeCells count="9">
    <mergeCell ref="A31:I31"/>
    <mergeCell ref="A32:I32"/>
    <mergeCell ref="A33:I33"/>
    <mergeCell ref="A1:I1"/>
    <mergeCell ref="A3:I3"/>
    <mergeCell ref="A28:I28"/>
    <mergeCell ref="A29:I29"/>
    <mergeCell ref="A30:I30"/>
    <mergeCell ref="A2:I2"/>
  </mergeCells>
  <pageMargins left="0.35416666666666702" right="0.35416666666666702" top="0.59027777777777801" bottom="0.59027777777777801" header="0.511811023622047" footer="0.511811023622047"/>
  <pageSetup paperSize="9" scale="6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tabSelected="1" zoomScaleNormal="100" workbookViewId="0">
      <pane ySplit="3" topLeftCell="A4" activePane="bottomLeft" state="frozen"/>
      <selection pane="bottomLeft" activeCell="E6" sqref="E6"/>
    </sheetView>
  </sheetViews>
  <sheetFormatPr defaultColWidth="9.140625" defaultRowHeight="15" x14ac:dyDescent="0.25"/>
  <cols>
    <col min="1" max="1" width="16" style="3" customWidth="1"/>
    <col min="2" max="2" width="26" style="3" customWidth="1"/>
    <col min="3" max="4" width="34" style="3" customWidth="1"/>
    <col min="5" max="5" width="16" style="3" customWidth="1"/>
    <col min="6" max="6" width="40" style="3" customWidth="1"/>
    <col min="7" max="16384" width="9.140625" style="3"/>
  </cols>
  <sheetData>
    <row r="1" spans="1:6" ht="36.75" customHeight="1" x14ac:dyDescent="0.25">
      <c r="A1" s="50" t="s">
        <v>58</v>
      </c>
      <c r="B1" s="50"/>
      <c r="C1" s="50"/>
      <c r="D1" s="50"/>
      <c r="E1" s="50"/>
      <c r="F1" s="50"/>
    </row>
    <row r="3" spans="1:6" ht="28.5" customHeight="1" x14ac:dyDescent="0.25">
      <c r="A3" s="22" t="s">
        <v>59</v>
      </c>
      <c r="B3" s="22" t="s">
        <v>60</v>
      </c>
      <c r="C3" s="22" t="s">
        <v>61</v>
      </c>
      <c r="D3" s="22" t="s">
        <v>62</v>
      </c>
      <c r="E3" s="22" t="s">
        <v>63</v>
      </c>
      <c r="F3" s="22" t="s">
        <v>5</v>
      </c>
    </row>
    <row r="4" spans="1:6" ht="69.75" customHeight="1" x14ac:dyDescent="0.25">
      <c r="A4" s="30" t="s">
        <v>64</v>
      </c>
      <c r="B4" s="30" t="s">
        <v>65</v>
      </c>
      <c r="C4" s="30" t="s">
        <v>66</v>
      </c>
      <c r="D4" s="30" t="s">
        <v>67</v>
      </c>
      <c r="E4" s="30" t="s">
        <v>68</v>
      </c>
      <c r="F4" s="30" t="s">
        <v>69</v>
      </c>
    </row>
    <row r="5" spans="1:6" ht="69.75" customHeight="1" x14ac:dyDescent="0.25">
      <c r="A5" s="30" t="s">
        <v>70</v>
      </c>
      <c r="B5" s="30" t="s">
        <v>71</v>
      </c>
      <c r="C5" s="30" t="s">
        <v>72</v>
      </c>
      <c r="D5" s="30" t="s">
        <v>73</v>
      </c>
      <c r="E5" s="30">
        <v>2025</v>
      </c>
      <c r="F5" s="30" t="s">
        <v>74</v>
      </c>
    </row>
    <row r="6" spans="1:6" ht="79.5" customHeight="1" x14ac:dyDescent="0.25">
      <c r="A6" s="30" t="s">
        <v>75</v>
      </c>
      <c r="B6" s="30" t="s">
        <v>76</v>
      </c>
      <c r="C6" s="30" t="s">
        <v>77</v>
      </c>
      <c r="D6" s="30" t="s">
        <v>78</v>
      </c>
      <c r="E6" s="30">
        <v>2025</v>
      </c>
      <c r="F6" s="30" t="s">
        <v>79</v>
      </c>
    </row>
    <row r="7" spans="1:6" ht="79.5" customHeight="1" x14ac:dyDescent="0.25">
      <c r="A7" s="30" t="s">
        <v>80</v>
      </c>
      <c r="B7" s="30" t="s">
        <v>81</v>
      </c>
      <c r="C7" s="30" t="s">
        <v>82</v>
      </c>
      <c r="D7" s="30" t="s">
        <v>83</v>
      </c>
      <c r="E7" s="30">
        <v>2018</v>
      </c>
      <c r="F7" s="30" t="s">
        <v>84</v>
      </c>
    </row>
    <row r="8" spans="1:6" ht="116.25" customHeight="1" x14ac:dyDescent="0.25">
      <c r="A8" s="30" t="s">
        <v>85</v>
      </c>
      <c r="B8" s="30" t="s">
        <v>86</v>
      </c>
      <c r="C8" s="30" t="s">
        <v>82</v>
      </c>
      <c r="D8" s="30" t="s">
        <v>87</v>
      </c>
      <c r="E8" s="30">
        <v>2018</v>
      </c>
      <c r="F8" s="30" t="s">
        <v>88</v>
      </c>
    </row>
    <row r="9" spans="1:6" ht="69.75" customHeight="1" x14ac:dyDescent="0.25">
      <c r="A9" s="30" t="s">
        <v>89</v>
      </c>
      <c r="B9" s="30" t="s">
        <v>90</v>
      </c>
      <c r="C9" s="30" t="s">
        <v>91</v>
      </c>
      <c r="D9" s="30" t="s">
        <v>92</v>
      </c>
      <c r="E9" s="30">
        <v>2018</v>
      </c>
      <c r="F9" s="30" t="s">
        <v>88</v>
      </c>
    </row>
    <row r="10" spans="1:6" ht="45" customHeight="1" x14ac:dyDescent="0.25">
      <c r="A10" s="24" t="s">
        <v>93</v>
      </c>
      <c r="B10" s="25" t="s">
        <v>94</v>
      </c>
      <c r="C10" s="30" t="s">
        <v>82</v>
      </c>
      <c r="D10" s="30" t="s">
        <v>83</v>
      </c>
      <c r="E10" s="24">
        <v>2018</v>
      </c>
      <c r="F10" s="30" t="s">
        <v>84</v>
      </c>
    </row>
  </sheetData>
  <mergeCells count="1">
    <mergeCell ref="A1:F1"/>
  </mergeCells>
  <pageMargins left="0.35416666666666702" right="0.35416666666666702" top="0.59027777777777801" bottom="0.59027777777777801" header="0.511811023622047" footer="0.511811023622047"/>
  <pageSetup paperSize="9" scale="8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3</vt:i4>
      </vt:variant>
      <vt:variant>
        <vt:lpstr>Phạm vi Có tên</vt:lpstr>
      </vt:variant>
      <vt:variant>
        <vt:i4>1</vt:i4>
      </vt:variant>
    </vt:vector>
  </HeadingPairs>
  <TitlesOfParts>
    <vt:vector size="4" baseType="lpstr">
      <vt:lpstr>Kp bo tri du toan</vt:lpstr>
      <vt:lpstr>TongHop_NoiDungChi</vt:lpstr>
      <vt:lpstr>SoSanh_CacTinh</vt:lpstr>
      <vt:lpstr>TongHop_NoiDungChi!Print_Titles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Tuan Hung Nong</dc:creator>
  <dc:description/>
  <cp:lastModifiedBy>Tuan Hung Nong</cp:lastModifiedBy>
  <cp:revision>0</cp:revision>
  <cp:lastPrinted>2026-10-28T11:43:07Z</cp:lastPrinted>
  <dcterms:created xsi:type="dcterms:W3CDTF">2026-09-19T01:30:34Z</dcterms:created>
  <dcterms:modified xsi:type="dcterms:W3CDTF">2026-10-28T11:44:09Z</dcterms:modified>
  <dc:language>en-US</dc:language>
</cp:coreProperties>
</file>